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8195" windowHeight="8265"/>
  </bookViews>
  <sheets>
    <sheet name="SQLT0007" sheetId="1" r:id="rId1"/>
  </sheets>
  <calcPr calcId="0"/>
</workbook>
</file>

<file path=xl/calcChain.xml><?xml version="1.0" encoding="utf-8"?>
<calcChain xmlns="http://schemas.openxmlformats.org/spreadsheetml/2006/main">
  <c r="A1" i="1"/>
  <c r="B1"/>
  <c r="C1"/>
  <c r="A2"/>
  <c r="B2"/>
  <c r="C2"/>
  <c r="A3"/>
  <c r="B3"/>
  <c r="C3"/>
  <c r="A4"/>
  <c r="B4"/>
  <c r="C4"/>
  <c r="A5"/>
  <c r="B5"/>
  <c r="C5"/>
  <c r="A6"/>
  <c r="B6"/>
  <c r="A7"/>
  <c r="B7"/>
  <c r="C7"/>
  <c r="A8"/>
  <c r="B8"/>
  <c r="C8"/>
  <c r="A9"/>
  <c r="B9"/>
  <c r="C9"/>
  <c r="A10"/>
  <c r="B10"/>
  <c r="C10"/>
  <c r="A11"/>
  <c r="B11"/>
  <c r="C11"/>
  <c r="A12"/>
  <c r="B12"/>
  <c r="C12"/>
  <c r="A13"/>
  <c r="B13"/>
  <c r="C13"/>
  <c r="A14"/>
  <c r="B14"/>
  <c r="C14"/>
  <c r="A15"/>
  <c r="B15"/>
  <c r="A16"/>
  <c r="B16"/>
  <c r="C16"/>
  <c r="A17"/>
  <c r="B17"/>
  <c r="C17"/>
  <c r="A18"/>
  <c r="B18"/>
  <c r="C18"/>
  <c r="A19"/>
  <c r="B19"/>
  <c r="C19"/>
  <c r="A20"/>
  <c r="B20"/>
  <c r="C20"/>
  <c r="A21"/>
  <c r="B21"/>
  <c r="C21"/>
  <c r="A22"/>
  <c r="B22"/>
  <c r="C22"/>
  <c r="A23"/>
  <c r="B23"/>
  <c r="C23"/>
  <c r="A24"/>
  <c r="B24"/>
  <c r="A25"/>
  <c r="B25"/>
  <c r="C25"/>
  <c r="A26"/>
  <c r="B26"/>
  <c r="C26"/>
  <c r="A27"/>
  <c r="B27"/>
  <c r="C27"/>
  <c r="A28"/>
  <c r="B28"/>
  <c r="C28"/>
  <c r="A29"/>
  <c r="B29"/>
  <c r="A30"/>
  <c r="B30"/>
  <c r="C30"/>
  <c r="A31"/>
  <c r="B31"/>
  <c r="A32"/>
  <c r="B32"/>
  <c r="A33"/>
  <c r="B33"/>
  <c r="C33"/>
  <c r="A34"/>
  <c r="B34"/>
  <c r="C34"/>
  <c r="A35"/>
  <c r="B35"/>
  <c r="C35"/>
  <c r="A36"/>
  <c r="B36"/>
  <c r="A37"/>
  <c r="B37"/>
  <c r="A38"/>
  <c r="B38"/>
  <c r="C38"/>
  <c r="A39"/>
  <c r="B39"/>
  <c r="C39"/>
  <c r="A40"/>
  <c r="B40"/>
  <c r="C40"/>
  <c r="A41"/>
  <c r="B41"/>
  <c r="C41"/>
  <c r="A42"/>
  <c r="B42"/>
  <c r="A43"/>
  <c r="B43"/>
  <c r="C43"/>
  <c r="A44"/>
  <c r="B44"/>
  <c r="A45"/>
  <c r="B45"/>
  <c r="C45"/>
  <c r="A46"/>
  <c r="B46"/>
  <c r="C46"/>
  <c r="A47"/>
  <c r="B47"/>
  <c r="A48"/>
  <c r="B48"/>
  <c r="C48"/>
  <c r="A49"/>
  <c r="B49"/>
  <c r="C49"/>
  <c r="A50"/>
  <c r="B50"/>
  <c r="C50"/>
  <c r="A51"/>
  <c r="B51"/>
  <c r="C51"/>
  <c r="A52"/>
  <c r="B52"/>
  <c r="A53"/>
  <c r="B53"/>
  <c r="C53"/>
  <c r="A54"/>
  <c r="B54"/>
  <c r="C54"/>
  <c r="A55"/>
  <c r="B55"/>
  <c r="C55"/>
  <c r="A56"/>
  <c r="B56"/>
  <c r="A57"/>
  <c r="B57"/>
  <c r="A58"/>
  <c r="B58"/>
  <c r="C58"/>
  <c r="A59"/>
  <c r="B59"/>
  <c r="C59"/>
  <c r="A60"/>
  <c r="B60"/>
  <c r="C60"/>
  <c r="A61"/>
  <c r="B61"/>
  <c r="C61"/>
  <c r="A62"/>
  <c r="B62"/>
  <c r="C62"/>
  <c r="A63"/>
  <c r="B63"/>
  <c r="A64"/>
  <c r="B64"/>
  <c r="C64"/>
  <c r="A65"/>
  <c r="B65"/>
  <c r="C65"/>
  <c r="A66"/>
  <c r="B66"/>
  <c r="C66"/>
  <c r="A67"/>
  <c r="B67"/>
  <c r="C67"/>
  <c r="A68"/>
  <c r="B68"/>
  <c r="C68"/>
  <c r="A69"/>
  <c r="B69"/>
  <c r="C69"/>
  <c r="A70"/>
  <c r="B70"/>
  <c r="C70"/>
  <c r="A71"/>
  <c r="B71"/>
  <c r="C71"/>
  <c r="A72"/>
  <c r="B72"/>
  <c r="C72"/>
  <c r="A73"/>
  <c r="B73"/>
  <c r="C73"/>
  <c r="A74"/>
  <c r="B74"/>
  <c r="C74"/>
  <c r="A75"/>
  <c r="B75"/>
  <c r="C75"/>
  <c r="A76"/>
  <c r="B76"/>
  <c r="C76"/>
  <c r="A77"/>
  <c r="B77"/>
  <c r="C77"/>
  <c r="A78"/>
  <c r="B78"/>
  <c r="A79"/>
  <c r="B79"/>
  <c r="C79"/>
  <c r="A80"/>
  <c r="B80"/>
  <c r="C80"/>
  <c r="A81"/>
  <c r="B81"/>
  <c r="A82"/>
  <c r="B82"/>
  <c r="A83"/>
  <c r="B83"/>
  <c r="C83"/>
  <c r="A84"/>
  <c r="B84"/>
  <c r="C84"/>
  <c r="A85"/>
  <c r="B85"/>
  <c r="C85"/>
  <c r="A86"/>
  <c r="B86"/>
  <c r="C86"/>
  <c r="A87"/>
  <c r="B87"/>
  <c r="A88"/>
  <c r="B88"/>
  <c r="C88"/>
  <c r="A89"/>
  <c r="B89"/>
  <c r="C89"/>
  <c r="A90"/>
  <c r="B90"/>
  <c r="C90"/>
  <c r="A91"/>
  <c r="B91"/>
  <c r="C91"/>
  <c r="A92"/>
  <c r="B92"/>
  <c r="A93"/>
  <c r="B93"/>
  <c r="C93"/>
  <c r="A94"/>
  <c r="B94"/>
  <c r="C94"/>
  <c r="A95"/>
  <c r="B95"/>
  <c r="C95"/>
  <c r="A96"/>
  <c r="B96"/>
  <c r="C96"/>
  <c r="A97"/>
  <c r="B97"/>
  <c r="C97"/>
  <c r="A98"/>
  <c r="B98"/>
  <c r="C98"/>
  <c r="A99"/>
  <c r="B99"/>
  <c r="C99"/>
  <c r="A100"/>
  <c r="B100"/>
  <c r="C100"/>
  <c r="A101"/>
  <c r="B101"/>
  <c r="C101"/>
  <c r="A102"/>
  <c r="B102"/>
  <c r="C102"/>
  <c r="A103"/>
  <c r="B103"/>
  <c r="C103"/>
  <c r="A104"/>
  <c r="B104"/>
  <c r="C104"/>
  <c r="A105"/>
  <c r="B105"/>
  <c r="C105"/>
  <c r="A106"/>
  <c r="B106"/>
  <c r="C106"/>
  <c r="A107"/>
  <c r="B107"/>
  <c r="C107"/>
  <c r="A108"/>
  <c r="B108"/>
  <c r="C108"/>
  <c r="A109"/>
  <c r="B109"/>
  <c r="C109"/>
  <c r="A110"/>
  <c r="B110"/>
  <c r="C110"/>
  <c r="A111"/>
  <c r="B111"/>
  <c r="C111"/>
  <c r="A112"/>
  <c r="B112"/>
  <c r="C112"/>
  <c r="A113"/>
  <c r="B113"/>
  <c r="C113"/>
  <c r="A114"/>
  <c r="B114"/>
  <c r="C114"/>
  <c r="A115"/>
  <c r="B115"/>
  <c r="C115"/>
  <c r="A116"/>
  <c r="B116"/>
  <c r="C116"/>
  <c r="A117"/>
  <c r="B117"/>
  <c r="C117"/>
  <c r="A118"/>
  <c r="B118"/>
  <c r="C118"/>
  <c r="A119"/>
  <c r="B119"/>
  <c r="C119"/>
  <c r="A120"/>
  <c r="B120"/>
  <c r="C120"/>
  <c r="A121"/>
  <c r="B121"/>
  <c r="C121"/>
  <c r="A122"/>
  <c r="B122"/>
  <c r="C122"/>
  <c r="A123"/>
  <c r="B123"/>
  <c r="A124"/>
  <c r="B124"/>
  <c r="C124"/>
  <c r="A125"/>
  <c r="B125"/>
  <c r="A126"/>
  <c r="B126"/>
  <c r="C126"/>
  <c r="A127"/>
  <c r="B127"/>
  <c r="C127"/>
  <c r="A128"/>
  <c r="B128"/>
  <c r="C128"/>
  <c r="A129"/>
  <c r="B129"/>
  <c r="C129"/>
  <c r="A130"/>
  <c r="B130"/>
  <c r="C130"/>
  <c r="A131"/>
  <c r="B131"/>
  <c r="A132"/>
  <c r="B132"/>
  <c r="C132"/>
  <c r="A133"/>
  <c r="B133"/>
  <c r="C133"/>
  <c r="A134"/>
  <c r="B134"/>
  <c r="A135"/>
  <c r="B135"/>
  <c r="A136"/>
  <c r="B136"/>
  <c r="C136"/>
  <c r="A137"/>
  <c r="B137"/>
  <c r="C137"/>
  <c r="A138"/>
  <c r="B138"/>
  <c r="C138"/>
  <c r="A139"/>
  <c r="B139"/>
  <c r="C139"/>
  <c r="A140"/>
  <c r="B140"/>
  <c r="C140"/>
  <c r="A141"/>
  <c r="B141"/>
  <c r="C141"/>
  <c r="A142"/>
  <c r="B142"/>
  <c r="C142"/>
  <c r="A143"/>
  <c r="B143"/>
  <c r="C143"/>
  <c r="A144"/>
  <c r="B144"/>
  <c r="C144"/>
  <c r="A145"/>
  <c r="B145"/>
  <c r="C145"/>
  <c r="A146"/>
  <c r="B146"/>
  <c r="C146"/>
  <c r="A147"/>
  <c r="B147"/>
  <c r="A148"/>
  <c r="B148"/>
  <c r="A149"/>
  <c r="B149"/>
  <c r="A150"/>
  <c r="B150"/>
  <c r="C150"/>
  <c r="A151"/>
  <c r="B151"/>
  <c r="C151"/>
  <c r="A152"/>
  <c r="B152"/>
  <c r="C152"/>
  <c r="A153"/>
  <c r="B153"/>
  <c r="C153"/>
  <c r="A154"/>
  <c r="B154"/>
  <c r="A155"/>
  <c r="B155"/>
  <c r="C155"/>
  <c r="A156"/>
  <c r="B156"/>
  <c r="C156"/>
  <c r="A157"/>
  <c r="B157"/>
  <c r="C157"/>
  <c r="A158"/>
  <c r="B158"/>
  <c r="C158"/>
  <c r="A159"/>
  <c r="B159"/>
  <c r="A160"/>
  <c r="B160"/>
  <c r="C160"/>
  <c r="A161"/>
  <c r="B161"/>
  <c r="A162"/>
  <c r="B162"/>
  <c r="C162"/>
  <c r="A163"/>
  <c r="B163"/>
  <c r="A164"/>
  <c r="B164"/>
  <c r="C164"/>
  <c r="A165"/>
  <c r="B165"/>
  <c r="C165"/>
  <c r="A166"/>
  <c r="B166"/>
  <c r="C166"/>
  <c r="A167"/>
  <c r="B167"/>
  <c r="C167"/>
  <c r="A168"/>
  <c r="B168"/>
  <c r="C168"/>
  <c r="A169"/>
  <c r="B169"/>
  <c r="C169"/>
  <c r="A170"/>
  <c r="B170"/>
  <c r="C170"/>
  <c r="A171"/>
  <c r="B171"/>
  <c r="C171"/>
  <c r="A172"/>
  <c r="B172"/>
  <c r="A173"/>
  <c r="B173"/>
  <c r="C173"/>
  <c r="A174"/>
  <c r="B174"/>
  <c r="C174"/>
  <c r="A175"/>
  <c r="B175"/>
  <c r="C175"/>
  <c r="A176"/>
  <c r="B176"/>
  <c r="C176"/>
  <c r="A177"/>
  <c r="B177"/>
  <c r="C177"/>
  <c r="A178"/>
  <c r="B178"/>
  <c r="C178"/>
  <c r="A179"/>
  <c r="B179"/>
  <c r="C179"/>
  <c r="A180"/>
  <c r="B180"/>
  <c r="C180"/>
  <c r="A181"/>
  <c r="B181"/>
  <c r="C181"/>
  <c r="A182"/>
  <c r="B182"/>
  <c r="C182"/>
  <c r="A183"/>
  <c r="B183"/>
  <c r="C183"/>
  <c r="A184"/>
  <c r="B184"/>
  <c r="A185"/>
  <c r="B185"/>
  <c r="C185"/>
  <c r="A186"/>
  <c r="B186"/>
  <c r="C186"/>
  <c r="A187"/>
  <c r="B187"/>
  <c r="C187"/>
  <c r="A188"/>
  <c r="B188"/>
  <c r="C188"/>
  <c r="A189"/>
  <c r="B189"/>
  <c r="C189"/>
  <c r="A190"/>
  <c r="B190"/>
  <c r="C190"/>
  <c r="A191"/>
  <c r="B191"/>
  <c r="C191"/>
  <c r="A192"/>
  <c r="B192"/>
  <c r="C192"/>
  <c r="A193"/>
  <c r="B193"/>
  <c r="C193"/>
  <c r="A194"/>
  <c r="B194"/>
  <c r="C194"/>
  <c r="A195"/>
  <c r="C195"/>
  <c r="A196"/>
  <c r="B196"/>
  <c r="C196"/>
  <c r="A197"/>
  <c r="B197"/>
  <c r="C197"/>
  <c r="A198"/>
  <c r="B198"/>
  <c r="A199"/>
  <c r="B199"/>
  <c r="C199"/>
  <c r="A200"/>
  <c r="B200"/>
  <c r="C200"/>
  <c r="A201"/>
  <c r="B201"/>
  <c r="A202"/>
  <c r="B202"/>
  <c r="C202"/>
  <c r="A203"/>
  <c r="B203"/>
  <c r="C203"/>
  <c r="A204"/>
  <c r="B204"/>
  <c r="C204"/>
  <c r="A205"/>
  <c r="B205"/>
  <c r="C205"/>
  <c r="A206"/>
  <c r="B206"/>
  <c r="C206"/>
  <c r="A207"/>
  <c r="B207"/>
  <c r="C207"/>
  <c r="A208"/>
  <c r="B208"/>
  <c r="C208"/>
  <c r="A209"/>
  <c r="B209"/>
  <c r="C209"/>
  <c r="A210"/>
  <c r="B210"/>
  <c r="C210"/>
  <c r="A211"/>
  <c r="B211"/>
  <c r="C211"/>
  <c r="A212"/>
  <c r="B212"/>
  <c r="C212"/>
  <c r="A213"/>
  <c r="B213"/>
  <c r="C213"/>
  <c r="A214"/>
  <c r="B214"/>
  <c r="C214"/>
  <c r="A215"/>
  <c r="B215"/>
  <c r="C215"/>
  <c r="A216"/>
  <c r="B216"/>
  <c r="C216"/>
  <c r="A217"/>
  <c r="B217"/>
  <c r="C217"/>
  <c r="A218"/>
  <c r="B218"/>
  <c r="C218"/>
  <c r="A219"/>
  <c r="B219"/>
  <c r="C219"/>
  <c r="A220"/>
  <c r="B220"/>
  <c r="C220"/>
  <c r="A221"/>
  <c r="B221"/>
  <c r="C221"/>
  <c r="A222"/>
  <c r="B222"/>
  <c r="C222"/>
  <c r="A223"/>
  <c r="B223"/>
  <c r="C223"/>
  <c r="A224"/>
  <c r="B224"/>
  <c r="C224"/>
  <c r="A225"/>
  <c r="B225"/>
  <c r="C225"/>
  <c r="A226"/>
  <c r="B226"/>
  <c r="A227"/>
  <c r="B227"/>
  <c r="C227"/>
  <c r="A228"/>
  <c r="B228"/>
  <c r="C228"/>
  <c r="A229"/>
  <c r="B229"/>
  <c r="C229"/>
  <c r="A230"/>
  <c r="B230"/>
  <c r="C230"/>
  <c r="A231"/>
  <c r="B231"/>
  <c r="C231"/>
  <c r="A232"/>
  <c r="B232"/>
  <c r="C232"/>
  <c r="A233"/>
  <c r="B233"/>
  <c r="C233"/>
  <c r="A234"/>
  <c r="B234"/>
  <c r="C234"/>
  <c r="A235"/>
  <c r="B235"/>
  <c r="A236"/>
  <c r="B236"/>
  <c r="C236"/>
  <c r="A237"/>
  <c r="B237"/>
  <c r="C237"/>
  <c r="A238"/>
  <c r="B238"/>
  <c r="C238"/>
  <c r="A239"/>
  <c r="B239"/>
  <c r="A240"/>
  <c r="B240"/>
  <c r="C240"/>
  <c r="A241"/>
  <c r="B241"/>
  <c r="C241"/>
  <c r="A242"/>
  <c r="B242"/>
  <c r="C242"/>
  <c r="A243"/>
  <c r="B243"/>
  <c r="C243"/>
  <c r="A244"/>
  <c r="B244"/>
  <c r="C244"/>
  <c r="A245"/>
  <c r="B245"/>
  <c r="C245"/>
  <c r="A246"/>
  <c r="B246"/>
  <c r="C246"/>
  <c r="A247"/>
  <c r="B247"/>
  <c r="C247"/>
  <c r="A248"/>
  <c r="B248"/>
  <c r="C248"/>
  <c r="A249"/>
  <c r="B249"/>
  <c r="C249"/>
  <c r="A250"/>
  <c r="B250"/>
  <c r="C250"/>
  <c r="A251"/>
  <c r="B251"/>
  <c r="C251"/>
  <c r="A252"/>
  <c r="B252"/>
  <c r="C252"/>
  <c r="A253"/>
  <c r="B253"/>
  <c r="C253"/>
  <c r="A254"/>
  <c r="B254"/>
  <c r="C254"/>
  <c r="A255"/>
  <c r="B255"/>
  <c r="C255"/>
  <c r="A256"/>
  <c r="B256"/>
  <c r="C256"/>
  <c r="A257"/>
  <c r="B257"/>
  <c r="C257"/>
  <c r="A258"/>
  <c r="B258"/>
  <c r="C258"/>
  <c r="A259"/>
  <c r="B259"/>
  <c r="C259"/>
  <c r="A260"/>
  <c r="B260"/>
  <c r="C260"/>
  <c r="A261"/>
  <c r="B261"/>
  <c r="A262"/>
  <c r="B262"/>
  <c r="C262"/>
  <c r="A263"/>
  <c r="B263"/>
  <c r="C263"/>
  <c r="A264"/>
  <c r="B264"/>
  <c r="C264"/>
  <c r="A265"/>
  <c r="B265"/>
  <c r="A266"/>
  <c r="B266"/>
  <c r="C266"/>
  <c r="A267"/>
  <c r="B267"/>
  <c r="C267"/>
  <c r="A268"/>
  <c r="B268"/>
  <c r="C268"/>
  <c r="A269"/>
  <c r="B269"/>
  <c r="C269"/>
  <c r="A270"/>
  <c r="B270"/>
  <c r="C270"/>
  <c r="A271"/>
  <c r="B271"/>
  <c r="C271"/>
  <c r="A272"/>
  <c r="B272"/>
  <c r="C272"/>
  <c r="A273"/>
  <c r="B273"/>
  <c r="C273"/>
  <c r="A274"/>
  <c r="B274"/>
  <c r="C274"/>
  <c r="A275"/>
  <c r="B275"/>
  <c r="A276"/>
  <c r="B276"/>
  <c r="C276"/>
  <c r="A277"/>
  <c r="B277"/>
  <c r="C277"/>
  <c r="A278"/>
  <c r="B278"/>
  <c r="C278"/>
  <c r="A279"/>
  <c r="B279"/>
  <c r="C279"/>
  <c r="A280"/>
  <c r="B280"/>
  <c r="C280"/>
  <c r="A281"/>
  <c r="B281"/>
  <c r="C281"/>
  <c r="A282"/>
  <c r="B282"/>
  <c r="C282"/>
  <c r="A283"/>
  <c r="B283"/>
  <c r="C283"/>
  <c r="A284"/>
  <c r="B284"/>
  <c r="C284"/>
  <c r="A285"/>
  <c r="B285"/>
  <c r="C285"/>
  <c r="A286"/>
  <c r="B286"/>
  <c r="C286"/>
  <c r="A287"/>
  <c r="B287"/>
  <c r="C287"/>
  <c r="A288"/>
  <c r="B288"/>
  <c r="C288"/>
  <c r="A289"/>
  <c r="B289"/>
  <c r="C289"/>
  <c r="A290"/>
  <c r="B290"/>
  <c r="C290"/>
  <c r="A291"/>
  <c r="B291"/>
  <c r="C291"/>
  <c r="A292"/>
  <c r="B292"/>
  <c r="C292"/>
  <c r="A293"/>
  <c r="B293"/>
  <c r="C293"/>
  <c r="A294"/>
  <c r="B294"/>
  <c r="C294"/>
  <c r="A295"/>
  <c r="B295"/>
  <c r="C295"/>
  <c r="A296"/>
  <c r="B296"/>
  <c r="C296"/>
  <c r="A297"/>
  <c r="B297"/>
  <c r="C297"/>
  <c r="A298"/>
  <c r="B298"/>
  <c r="C298"/>
  <c r="A299"/>
  <c r="B299"/>
  <c r="C299"/>
  <c r="A300"/>
  <c r="B300"/>
  <c r="C300"/>
  <c r="A301"/>
  <c r="B301"/>
  <c r="C301"/>
  <c r="A302"/>
  <c r="B302"/>
  <c r="C302"/>
  <c r="A303"/>
  <c r="B303"/>
  <c r="C303"/>
  <c r="A304"/>
  <c r="B304"/>
  <c r="C304"/>
  <c r="A305"/>
  <c r="B305"/>
  <c r="C305"/>
  <c r="A306"/>
  <c r="B306"/>
  <c r="C306"/>
  <c r="A307"/>
  <c r="B307"/>
  <c r="C307"/>
  <c r="A308"/>
  <c r="B308"/>
  <c r="C308"/>
  <c r="A309"/>
  <c r="B309"/>
  <c r="C309"/>
  <c r="A310"/>
  <c r="B310"/>
  <c r="C310"/>
  <c r="A311"/>
  <c r="B311"/>
  <c r="C311"/>
  <c r="A312"/>
  <c r="B312"/>
  <c r="C312"/>
  <c r="A313"/>
  <c r="B313"/>
  <c r="C313"/>
  <c r="A314"/>
  <c r="B314"/>
  <c r="C314"/>
  <c r="A315"/>
  <c r="B315"/>
  <c r="C315"/>
  <c r="A316"/>
  <c r="B316"/>
  <c r="A317"/>
  <c r="B317"/>
  <c r="C317"/>
  <c r="A318"/>
  <c r="B318"/>
  <c r="C318"/>
  <c r="A319"/>
  <c r="B319"/>
  <c r="A320"/>
  <c r="B320"/>
  <c r="C320"/>
  <c r="A321"/>
  <c r="B321"/>
  <c r="A322"/>
  <c r="B322"/>
  <c r="C322"/>
  <c r="A323"/>
  <c r="B323"/>
  <c r="C323"/>
  <c r="A324"/>
  <c r="B324"/>
  <c r="C324"/>
  <c r="A325"/>
  <c r="B325"/>
  <c r="A326"/>
  <c r="B326"/>
  <c r="C326"/>
  <c r="A327"/>
  <c r="B327"/>
  <c r="C327"/>
  <c r="A328"/>
  <c r="B328"/>
  <c r="C328"/>
  <c r="A329"/>
  <c r="B329"/>
  <c r="C329"/>
  <c r="A330"/>
  <c r="B330"/>
  <c r="C330"/>
  <c r="A331"/>
  <c r="B331"/>
  <c r="C331"/>
  <c r="A332"/>
  <c r="B332"/>
  <c r="C332"/>
  <c r="A333"/>
  <c r="B333"/>
  <c r="C333"/>
  <c r="A334"/>
  <c r="B334"/>
  <c r="C334"/>
  <c r="A335"/>
  <c r="B335"/>
  <c r="C335"/>
  <c r="A336"/>
  <c r="B336"/>
  <c r="C336"/>
  <c r="A337"/>
  <c r="B337"/>
  <c r="C337"/>
  <c r="A338"/>
  <c r="B338"/>
  <c r="C338"/>
  <c r="A339"/>
  <c r="B339"/>
  <c r="C339"/>
  <c r="A340"/>
  <c r="B340"/>
  <c r="C340"/>
  <c r="A341"/>
  <c r="B341"/>
  <c r="C341"/>
  <c r="A342"/>
  <c r="B342"/>
  <c r="A343"/>
  <c r="B343"/>
  <c r="C343"/>
  <c r="A344"/>
  <c r="B344"/>
  <c r="A345"/>
  <c r="B345"/>
  <c r="C345"/>
  <c r="A346"/>
  <c r="B346"/>
  <c r="C346"/>
  <c r="A347"/>
  <c r="B347"/>
  <c r="C347"/>
  <c r="A348"/>
  <c r="B348"/>
  <c r="C348"/>
  <c r="A349"/>
  <c r="B349"/>
  <c r="C349"/>
  <c r="A350"/>
  <c r="B350"/>
  <c r="C350"/>
  <c r="A351"/>
  <c r="B351"/>
  <c r="C351"/>
  <c r="A352"/>
  <c r="B352"/>
  <c r="C352"/>
  <c r="A353"/>
  <c r="B353"/>
  <c r="C353"/>
  <c r="A354"/>
  <c r="B354"/>
  <c r="A355"/>
  <c r="B355"/>
  <c r="A356"/>
  <c r="B356"/>
  <c r="C356"/>
  <c r="A357"/>
  <c r="B357"/>
  <c r="C357"/>
  <c r="A358"/>
  <c r="B358"/>
  <c r="C358"/>
  <c r="A359"/>
  <c r="B359"/>
  <c r="C359"/>
  <c r="A360"/>
  <c r="B360"/>
  <c r="C360"/>
  <c r="A361"/>
  <c r="B361"/>
  <c r="C361"/>
  <c r="A362"/>
  <c r="B362"/>
  <c r="C362"/>
  <c r="A363"/>
  <c r="B363"/>
  <c r="C363"/>
  <c r="A364"/>
  <c r="B364"/>
  <c r="C364"/>
  <c r="A365"/>
  <c r="B365"/>
  <c r="C365"/>
  <c r="A366"/>
  <c r="B366"/>
  <c r="C366"/>
  <c r="A367"/>
  <c r="B367"/>
  <c r="C367"/>
  <c r="A368"/>
  <c r="B368"/>
  <c r="C368"/>
  <c r="A369"/>
  <c r="B369"/>
  <c r="C369"/>
  <c r="A370"/>
  <c r="C370"/>
  <c r="A371"/>
  <c r="B371"/>
  <c r="C371"/>
  <c r="A372"/>
  <c r="B372"/>
  <c r="A373"/>
  <c r="B373"/>
  <c r="C373"/>
  <c r="A374"/>
  <c r="B374"/>
  <c r="C374"/>
  <c r="A375"/>
  <c r="B375"/>
  <c r="A376"/>
  <c r="B376"/>
  <c r="C376"/>
  <c r="A377"/>
  <c r="B377"/>
  <c r="C377"/>
  <c r="A378"/>
  <c r="B378"/>
  <c r="C378"/>
  <c r="A379"/>
  <c r="B379"/>
  <c r="C379"/>
  <c r="A380"/>
  <c r="B380"/>
  <c r="C380"/>
  <c r="A381"/>
  <c r="B381"/>
  <c r="C381"/>
  <c r="A382"/>
  <c r="B382"/>
  <c r="C382"/>
  <c r="A383"/>
  <c r="B383"/>
  <c r="C383"/>
  <c r="A384"/>
  <c r="B384"/>
  <c r="C384"/>
  <c r="A385"/>
  <c r="B385"/>
  <c r="A386"/>
  <c r="B386"/>
  <c r="C386"/>
  <c r="A387"/>
  <c r="B387"/>
  <c r="C387"/>
  <c r="A388"/>
  <c r="B388"/>
  <c r="C388"/>
  <c r="A389"/>
  <c r="B389"/>
  <c r="A390"/>
  <c r="B390"/>
  <c r="C390"/>
  <c r="A391"/>
  <c r="B391"/>
  <c r="C391"/>
  <c r="A392"/>
  <c r="B392"/>
  <c r="C392"/>
  <c r="A393"/>
  <c r="B393"/>
  <c r="C393"/>
  <c r="A394"/>
  <c r="B394"/>
  <c r="C394"/>
  <c r="A395"/>
  <c r="B395"/>
  <c r="C395"/>
  <c r="A396"/>
  <c r="B396"/>
  <c r="C396"/>
  <c r="A397"/>
  <c r="B397"/>
  <c r="C397"/>
  <c r="A398"/>
  <c r="B398"/>
  <c r="C398"/>
  <c r="A399"/>
  <c r="B399"/>
  <c r="C399"/>
  <c r="A400"/>
  <c r="B400"/>
  <c r="A401"/>
  <c r="B401"/>
  <c r="C401"/>
  <c r="A402"/>
  <c r="B402"/>
  <c r="A403"/>
  <c r="B403"/>
  <c r="C403"/>
  <c r="A404"/>
  <c r="B404"/>
  <c r="C404"/>
  <c r="A405"/>
  <c r="B405"/>
  <c r="C405"/>
  <c r="A406"/>
  <c r="B406"/>
  <c r="A407"/>
  <c r="B407"/>
  <c r="C407"/>
  <c r="A408"/>
  <c r="B408"/>
  <c r="C408"/>
  <c r="A409"/>
  <c r="B409"/>
  <c r="C409"/>
  <c r="A410"/>
  <c r="B410"/>
  <c r="C410"/>
  <c r="A411"/>
  <c r="B411"/>
  <c r="C411"/>
  <c r="A412"/>
  <c r="B412"/>
  <c r="C412"/>
  <c r="A413"/>
  <c r="B413"/>
  <c r="C413"/>
  <c r="A414"/>
  <c r="B414"/>
  <c r="C414"/>
  <c r="A415"/>
  <c r="B415"/>
  <c r="C415"/>
  <c r="A416"/>
  <c r="B416"/>
  <c r="C416"/>
  <c r="A417"/>
  <c r="B417"/>
  <c r="C417"/>
  <c r="A418"/>
  <c r="B418"/>
  <c r="C418"/>
  <c r="A419"/>
  <c r="B419"/>
  <c r="C419"/>
  <c r="A420"/>
  <c r="B420"/>
  <c r="A421"/>
  <c r="B421"/>
  <c r="C421"/>
  <c r="A422"/>
  <c r="B422"/>
  <c r="C422"/>
  <c r="A423"/>
  <c r="B423"/>
  <c r="C423"/>
  <c r="A424"/>
  <c r="B424"/>
  <c r="C424"/>
  <c r="A425"/>
  <c r="B425"/>
  <c r="C425"/>
  <c r="A426"/>
  <c r="B426"/>
  <c r="C426"/>
  <c r="A427"/>
  <c r="B427"/>
  <c r="C427"/>
  <c r="A428"/>
  <c r="B428"/>
  <c r="C428"/>
  <c r="A429"/>
  <c r="B429"/>
  <c r="C429"/>
  <c r="A430"/>
  <c r="B430"/>
  <c r="A431"/>
  <c r="B431"/>
  <c r="C431"/>
  <c r="A432"/>
  <c r="B432"/>
  <c r="C432"/>
  <c r="A433"/>
  <c r="B433"/>
  <c r="C433"/>
  <c r="A434"/>
  <c r="B434"/>
  <c r="C434"/>
  <c r="A435"/>
  <c r="B435"/>
  <c r="C435"/>
  <c r="A436"/>
  <c r="B436"/>
  <c r="C436"/>
  <c r="A437"/>
  <c r="B437"/>
  <c r="C437"/>
  <c r="A438"/>
  <c r="B438"/>
  <c r="A439"/>
  <c r="B439"/>
  <c r="C439"/>
  <c r="A440"/>
  <c r="B440"/>
  <c r="C440"/>
  <c r="A441"/>
  <c r="B441"/>
  <c r="C441"/>
  <c r="A442"/>
  <c r="B442"/>
  <c r="C442"/>
  <c r="A443"/>
  <c r="B443"/>
  <c r="C443"/>
  <c r="A444"/>
  <c r="B444"/>
  <c r="A445"/>
  <c r="B445"/>
  <c r="C445"/>
  <c r="A446"/>
  <c r="B446"/>
  <c r="C446"/>
  <c r="A447"/>
  <c r="B447"/>
  <c r="C447"/>
  <c r="A448"/>
  <c r="B448"/>
  <c r="C448"/>
  <c r="A449"/>
  <c r="B449"/>
  <c r="C449"/>
  <c r="A450"/>
  <c r="B450"/>
  <c r="A451"/>
  <c r="B451"/>
  <c r="C451"/>
  <c r="A452"/>
  <c r="B452"/>
  <c r="C452"/>
  <c r="A453"/>
  <c r="B453"/>
  <c r="C453"/>
  <c r="A454"/>
  <c r="B454"/>
  <c r="C454"/>
  <c r="A455"/>
  <c r="B455"/>
  <c r="C455"/>
  <c r="A456"/>
  <c r="B456"/>
  <c r="A457"/>
  <c r="B457"/>
  <c r="C457"/>
  <c r="A458"/>
  <c r="B458"/>
  <c r="A459"/>
  <c r="B459"/>
  <c r="A460"/>
  <c r="B460"/>
  <c r="C460"/>
  <c r="A461"/>
  <c r="B461"/>
  <c r="C461"/>
  <c r="A462"/>
  <c r="B462"/>
  <c r="C462"/>
  <c r="A463"/>
  <c r="B463"/>
  <c r="C463"/>
  <c r="A464"/>
  <c r="B464"/>
  <c r="C464"/>
  <c r="A465"/>
  <c r="B465"/>
  <c r="A466"/>
  <c r="B466"/>
  <c r="C466"/>
  <c r="A467"/>
  <c r="B467"/>
  <c r="C467"/>
  <c r="A468"/>
  <c r="B468"/>
  <c r="C468"/>
  <c r="A469"/>
  <c r="B469"/>
  <c r="C469"/>
  <c r="A470"/>
  <c r="B470"/>
  <c r="C470"/>
  <c r="A471"/>
  <c r="B471"/>
  <c r="C471"/>
  <c r="A472"/>
  <c r="B472"/>
  <c r="C472"/>
  <c r="A473"/>
  <c r="B473"/>
  <c r="C473"/>
  <c r="A474"/>
  <c r="B474"/>
  <c r="C474"/>
  <c r="A475"/>
  <c r="B475"/>
  <c r="C475"/>
  <c r="A476"/>
  <c r="B476"/>
  <c r="C476"/>
  <c r="A477"/>
  <c r="B477"/>
  <c r="C477"/>
  <c r="A478"/>
  <c r="B478"/>
  <c r="C478"/>
  <c r="A479"/>
  <c r="B479"/>
  <c r="C479"/>
  <c r="A480"/>
  <c r="B480"/>
  <c r="C480"/>
  <c r="A481"/>
  <c r="B481"/>
  <c r="C481"/>
  <c r="A482"/>
  <c r="B482"/>
  <c r="C482"/>
  <c r="A483"/>
  <c r="B483"/>
  <c r="C483"/>
  <c r="A484"/>
  <c r="B484"/>
  <c r="C484"/>
  <c r="A485"/>
  <c r="B485"/>
  <c r="C485"/>
  <c r="A486"/>
  <c r="B486"/>
  <c r="C486"/>
  <c r="A487"/>
  <c r="B487"/>
  <c r="C487"/>
  <c r="A488"/>
  <c r="B488"/>
  <c r="C488"/>
  <c r="A489"/>
  <c r="B489"/>
  <c r="C489"/>
  <c r="A490"/>
  <c r="B490"/>
  <c r="C490"/>
  <c r="A491"/>
  <c r="B491"/>
  <c r="C491"/>
  <c r="A492"/>
  <c r="B492"/>
  <c r="C492"/>
  <c r="A493"/>
  <c r="B493"/>
  <c r="C493"/>
  <c r="A494"/>
  <c r="B494"/>
  <c r="C494"/>
  <c r="A495"/>
  <c r="B495"/>
  <c r="C495"/>
  <c r="A496"/>
  <c r="B496"/>
  <c r="C496"/>
  <c r="A497"/>
  <c r="B497"/>
  <c r="C497"/>
  <c r="A498"/>
  <c r="B498"/>
  <c r="C498"/>
  <c r="A499"/>
  <c r="B499"/>
  <c r="C499"/>
  <c r="A500"/>
  <c r="B500"/>
  <c r="C500"/>
  <c r="A501"/>
  <c r="B501"/>
  <c r="C501"/>
  <c r="A502"/>
  <c r="B502"/>
  <c r="C502"/>
  <c r="A503"/>
  <c r="B503"/>
  <c r="C503"/>
  <c r="A504"/>
  <c r="B504"/>
  <c r="C504"/>
  <c r="A505"/>
  <c r="B505"/>
  <c r="C505"/>
  <c r="A506"/>
  <c r="B506"/>
  <c r="C506"/>
  <c r="A507"/>
  <c r="B507"/>
  <c r="C507"/>
  <c r="A508"/>
  <c r="B508"/>
  <c r="C508"/>
  <c r="A509"/>
  <c r="B509"/>
  <c r="C509"/>
  <c r="A510"/>
  <c r="B510"/>
  <c r="C510"/>
  <c r="A511"/>
  <c r="B511"/>
  <c r="C511"/>
  <c r="A512"/>
  <c r="B512"/>
  <c r="C512"/>
  <c r="A513"/>
  <c r="B513"/>
  <c r="C513"/>
  <c r="A514"/>
  <c r="B514"/>
  <c r="C514"/>
  <c r="A515"/>
  <c r="B515"/>
  <c r="C515"/>
  <c r="A516"/>
  <c r="B516"/>
  <c r="A517"/>
  <c r="B517"/>
  <c r="C517"/>
  <c r="A518"/>
  <c r="B518"/>
  <c r="C518"/>
  <c r="A519"/>
  <c r="B519"/>
  <c r="C519"/>
  <c r="A520"/>
  <c r="B520"/>
  <c r="C520"/>
  <c r="A521"/>
  <c r="B521"/>
  <c r="C521"/>
  <c r="A522"/>
  <c r="B522"/>
  <c r="C522"/>
  <c r="A523"/>
  <c r="B523"/>
  <c r="C523"/>
  <c r="A524"/>
  <c r="B524"/>
  <c r="C524"/>
  <c r="A525"/>
  <c r="B525"/>
  <c r="A526"/>
  <c r="B526"/>
  <c r="C526"/>
  <c r="A527"/>
  <c r="B527"/>
  <c r="C527"/>
  <c r="A528"/>
  <c r="B528"/>
  <c r="C528"/>
  <c r="A529"/>
  <c r="B529"/>
  <c r="A530"/>
  <c r="B530"/>
  <c r="A531"/>
  <c r="B531"/>
  <c r="C531"/>
  <c r="A532"/>
  <c r="B532"/>
  <c r="C532"/>
  <c r="A533"/>
  <c r="B533"/>
  <c r="A534"/>
  <c r="B534"/>
  <c r="C534"/>
  <c r="A535"/>
  <c r="B535"/>
  <c r="C535"/>
  <c r="A536"/>
  <c r="B536"/>
  <c r="C536"/>
  <c r="A537"/>
  <c r="B537"/>
  <c r="C537"/>
  <c r="A538"/>
  <c r="B538"/>
  <c r="C538"/>
  <c r="A539"/>
  <c r="B539"/>
  <c r="C539"/>
  <c r="A540"/>
  <c r="B540"/>
  <c r="C540"/>
  <c r="A541"/>
  <c r="B541"/>
  <c r="C541"/>
  <c r="A542"/>
  <c r="B542"/>
  <c r="A543"/>
  <c r="B543"/>
  <c r="C543"/>
  <c r="A544"/>
  <c r="B544"/>
  <c r="C544"/>
  <c r="A545"/>
  <c r="C545"/>
  <c r="A546"/>
  <c r="B546"/>
  <c r="C546"/>
  <c r="A547"/>
  <c r="B547"/>
  <c r="C547"/>
  <c r="A548"/>
  <c r="B548"/>
  <c r="C548"/>
  <c r="A549"/>
  <c r="B549"/>
  <c r="C549"/>
  <c r="A550"/>
  <c r="B550"/>
  <c r="C550"/>
  <c r="A551"/>
  <c r="B551"/>
  <c r="C551"/>
  <c r="A552"/>
  <c r="B552"/>
  <c r="A553"/>
  <c r="B553"/>
  <c r="C553"/>
  <c r="A554"/>
  <c r="B554"/>
  <c r="A555"/>
  <c r="B555"/>
  <c r="C555"/>
  <c r="A556"/>
  <c r="B556"/>
  <c r="C556"/>
  <c r="A557"/>
  <c r="B557"/>
  <c r="C557"/>
</calcChain>
</file>

<file path=xl/sharedStrings.xml><?xml version="1.0" encoding="utf-8"?>
<sst xmlns="http://schemas.openxmlformats.org/spreadsheetml/2006/main" count="77" uniqueCount="41">
  <si>
    <t>EMPIRE VISION CENTER, INC.</t>
  </si>
  <si>
    <t>Cynthia L. Simpson, Np</t>
  </si>
  <si>
    <t>ST JOSEPH'S PHYSICIAN HEALTH, PC</t>
  </si>
  <si>
    <t>FAMILY CARE MEDICAL GROUP, PC</t>
  </si>
  <si>
    <t>EAST HILL FAMILY MEDICAL, INC.</t>
  </si>
  <si>
    <t>AMY V. GOREZYNSKI, RN, MD, PC</t>
  </si>
  <si>
    <t>BLACK, ANDREW</t>
  </si>
  <si>
    <t>EMERGENCY PHYSICIANS SERVICES OF NEW YORK, PC</t>
  </si>
  <si>
    <t>CROUSE HEALTH HOSPITAL, INC</t>
  </si>
  <si>
    <t>AUBURN MEMORIAL MEDICAL SERVICES, PC</t>
  </si>
  <si>
    <t>ROME MEDICAL PRACTICE, PC</t>
  </si>
  <si>
    <t>BENEDETTA MELNICK, PHD</t>
  </si>
  <si>
    <t>SULLIVAN, ANNE MARIE</t>
  </si>
  <si>
    <t>BAUTISTA-DATOR, CARMEN S.</t>
  </si>
  <si>
    <t>ST. JOSEPH'S PHYSICIAN HEALTH, PC</t>
  </si>
  <si>
    <t>PLANNED PARENTHOOD MOHAWK HUDSON, INC.</t>
  </si>
  <si>
    <t>UNIVERSITY OF VERMONT MEDICAL CENTER, INC</t>
  </si>
  <si>
    <t>DAVID J MARTIN, MD</t>
  </si>
  <si>
    <t>UNITED MEDICAL ASSOCIATES, PC</t>
  </si>
  <si>
    <t>Oswego Family Physicians, PC</t>
  </si>
  <si>
    <t>Eisinger, Steven</t>
  </si>
  <si>
    <t>FAMILYCARE MEDICAL GROUP, PC.</t>
  </si>
  <si>
    <t>Chabot, Francis</t>
  </si>
  <si>
    <t xml:space="preserve"> HENRY SCHOENECK, III</t>
  </si>
  <si>
    <t>AUBURN MEMORIAL MEDICAL SERVICES, INC. DBA NEUROLO</t>
  </si>
  <si>
    <t>BUCHANAN, JASON R</t>
  </si>
  <si>
    <t>EAR, NOSE AND THROAT SPECIALISTS OF ONEIDA DBA ONE</t>
  </si>
  <si>
    <t>JOSEPH LORENZETTI, MD</t>
  </si>
  <si>
    <t>DEPARTMENT OF MEDICINE, MSG</t>
  </si>
  <si>
    <t>NORTH COUNTRY EMERGENCY MEDICAL CONSULTANTS, P.C.</t>
  </si>
  <si>
    <t>DR. JOSE VARGAS, MD</t>
  </si>
  <si>
    <t xml:space="preserve"> MICHAEL DEJESUS, JR</t>
  </si>
  <si>
    <t>GROUP OF  DOOLITTLE,  MICHAEL</t>
  </si>
  <si>
    <t>OSWEGO MEDICAL CONSULTANTS, PC</t>
  </si>
  <si>
    <t>UNIVERSITY HILL GASTROENTEROLOGY ASSOCIATES, PC</t>
  </si>
  <si>
    <t>BEST CARE FAMILY MEDICAL, PLLC</t>
  </si>
  <si>
    <t>PORT CITY EMERGENCY PHYSICIANS, LLP</t>
  </si>
  <si>
    <t>MEDICAL AND MENTAL HEALTH PRACTICE, PC</t>
  </si>
  <si>
    <t>ROBERT P BURKE MD, PC</t>
  </si>
  <si>
    <t>OSWEGO COUNTY OB-GYN, PC</t>
  </si>
  <si>
    <t xml:space="preserve"> WILLIAM COOLEY, JR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</si>
</sst>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57"/>
  <sheetViews>
    <sheetView tabSelected="1" workbookViewId="0"/>
  </sheetViews>
  <sheetFormatPr defaultRowHeight="15"/>
  <cols>
    <col min="1" max="1" width="11" bestFit="1" customWidth="1"/>
    <col min="2" max="2" width="33.42578125" bestFit="1" customWidth="1"/>
    <col min="3" max="3" width="70.28515625" bestFit="1" customWidth="1"/>
  </cols>
  <sheetData>
    <row r="1" spans="1:3">
      <c r="A1" t="str">
        <f>"PROV_NBR"</f>
        <v>PROV_NBR</v>
      </c>
      <c r="B1" t="str">
        <f>"PROVIDER"</f>
        <v>PROVIDER</v>
      </c>
      <c r="C1" t="str">
        <f>"SITE_NAME"</f>
        <v>SITE_NAME</v>
      </c>
    </row>
    <row r="2" spans="1:3">
      <c r="A2" t="str">
        <f>"1093712911"</f>
        <v>1093712911</v>
      </c>
      <c r="B2" t="str">
        <f t="shared" ref="B2:B14" si="0">" "</f>
        <v xml:space="preserve"> </v>
      </c>
      <c r="C2" t="str">
        <f>"AUBURN COMMUNITY HOSPITAL"</f>
        <v>AUBURN COMMUNITY HOSPITAL</v>
      </c>
    </row>
    <row r="3" spans="1:3">
      <c r="A3" t="str">
        <f>"1033107743"</f>
        <v>1033107743</v>
      </c>
      <c r="B3" t="str">
        <f t="shared" si="0"/>
        <v xml:space="preserve"> </v>
      </c>
      <c r="C3" t="str">
        <f>"CROUSE HOSPITAL"</f>
        <v>CROUSE HOSPITAL</v>
      </c>
    </row>
    <row r="4" spans="1:3">
      <c r="A4" t="str">
        <f>"1730142456"</f>
        <v>1730142456</v>
      </c>
      <c r="B4" t="str">
        <f t="shared" si="0"/>
        <v xml:space="preserve"> </v>
      </c>
      <c r="C4" t="str">
        <f>"EMPIRE VISION CENTER"</f>
        <v>EMPIRE VISION CENTER</v>
      </c>
    </row>
    <row r="5" spans="1:3">
      <c r="A5" t="str">
        <f>"1649233800"</f>
        <v>1649233800</v>
      </c>
      <c r="B5" t="str">
        <f t="shared" si="0"/>
        <v xml:space="preserve"> </v>
      </c>
      <c r="C5" t="str">
        <f>"EMPIRE VISION CENTER INC"</f>
        <v>EMPIRE VISION CENTER INC</v>
      </c>
    </row>
    <row r="6" spans="1:3">
      <c r="A6" t="str">
        <f>"1326001736"</f>
        <v>1326001736</v>
      </c>
      <c r="B6" t="str">
        <f t="shared" si="0"/>
        <v xml:space="preserve"> </v>
      </c>
      <c r="C6" t="s">
        <v>0</v>
      </c>
    </row>
    <row r="7" spans="1:3">
      <c r="A7" t="str">
        <f>"1144283763"</f>
        <v>1144283763</v>
      </c>
      <c r="B7" t="str">
        <f t="shared" si="0"/>
        <v xml:space="preserve"> </v>
      </c>
      <c r="C7" t="str">
        <f>"EMPIRE VISIONWORKS"</f>
        <v>EMPIRE VISIONWORKS</v>
      </c>
    </row>
    <row r="8" spans="1:3">
      <c r="A8" t="str">
        <f>"1649366188"</f>
        <v>1649366188</v>
      </c>
      <c r="B8" t="str">
        <f t="shared" si="0"/>
        <v xml:space="preserve"> </v>
      </c>
      <c r="C8" t="str">
        <f>"GIFFORD &amp; WEST PHARMACY INC"</f>
        <v>GIFFORD &amp; WEST PHARMACY INC</v>
      </c>
    </row>
    <row r="9" spans="1:3">
      <c r="A9" t="str">
        <f>"1205877172"</f>
        <v>1205877172</v>
      </c>
      <c r="B9" t="str">
        <f t="shared" si="0"/>
        <v xml:space="preserve"> </v>
      </c>
      <c r="C9" t="str">
        <f>"Kidney and Hypertension Consultants"</f>
        <v>Kidney and Hypertension Consultants</v>
      </c>
    </row>
    <row r="10" spans="1:3">
      <c r="A10" t="str">
        <f>"1780600577"</f>
        <v>1780600577</v>
      </c>
      <c r="B10" t="str">
        <f t="shared" si="0"/>
        <v xml:space="preserve"> </v>
      </c>
      <c r="C10" t="str">
        <f>"MARY IMOGENE BASSETT HOSPITAL"</f>
        <v>MARY IMOGENE BASSETT HOSPITAL</v>
      </c>
    </row>
    <row r="11" spans="1:3">
      <c r="A11" t="str">
        <f>"1972604460"</f>
        <v>1972604460</v>
      </c>
      <c r="B11" t="str">
        <f t="shared" si="0"/>
        <v xml:space="preserve"> </v>
      </c>
      <c r="C11" t="str">
        <f>"MASSENA MEMORIAL HOSP/PRO FEES"</f>
        <v>MASSENA MEMORIAL HOSP/PRO FEES</v>
      </c>
    </row>
    <row r="12" spans="1:3">
      <c r="A12" t="str">
        <f>"1568548782"</f>
        <v>1568548782</v>
      </c>
      <c r="B12" t="str">
        <f t="shared" si="0"/>
        <v xml:space="preserve"> </v>
      </c>
      <c r="C12" t="str">
        <f>"PRIME CARE CPH"</f>
        <v>PRIME CARE CPH</v>
      </c>
    </row>
    <row r="13" spans="1:3">
      <c r="A13" t="str">
        <f>"1003814641"</f>
        <v>1003814641</v>
      </c>
      <c r="B13" t="str">
        <f t="shared" si="0"/>
        <v xml:space="preserve"> </v>
      </c>
      <c r="C13" t="str">
        <f>"River Hospital Inc"</f>
        <v>River Hospital Inc</v>
      </c>
    </row>
    <row r="14" spans="1:3">
      <c r="A14" t="str">
        <f>"1508815333"</f>
        <v>1508815333</v>
      </c>
      <c r="B14" t="str">
        <f t="shared" si="0"/>
        <v xml:space="preserve"> </v>
      </c>
      <c r="C14" t="str">
        <f>"St. Joseph Hospital"</f>
        <v>St. Joseph Hospital</v>
      </c>
    </row>
    <row r="15" spans="1:3">
      <c r="A15" t="str">
        <f>"1003822743"</f>
        <v>1003822743</v>
      </c>
      <c r="B15" t="str">
        <f>" AARON HUIZENGA"</f>
        <v xml:space="preserve"> AARON HUIZENGA</v>
      </c>
      <c r="C15" t="s">
        <v>1</v>
      </c>
    </row>
    <row r="16" spans="1:3">
      <c r="A16" t="str">
        <f>"1629251251"</f>
        <v>1629251251</v>
      </c>
      <c r="B16" t="str">
        <f>" ADAM BERG"</f>
        <v xml:space="preserve"> ADAM BERG</v>
      </c>
      <c r="C16" t="str">
        <f>"FAMILY PRACTICE ASSOCIATES"</f>
        <v>FAMILY PRACTICE ASSOCIATES</v>
      </c>
    </row>
    <row r="17" spans="1:3">
      <c r="A17" t="str">
        <f>"1497900633"</f>
        <v>1497900633</v>
      </c>
      <c r="B17" t="str">
        <f>" ADAM DUCKETT"</f>
        <v xml:space="preserve"> ADAM DUCKETT</v>
      </c>
      <c r="C17" t="str">
        <f>"CAYUGA COUNSELING SERVICES"</f>
        <v>CAYUGA COUNSELING SERVICES</v>
      </c>
    </row>
    <row r="18" spans="1:3">
      <c r="A18" t="str">
        <f>"1225229727"</f>
        <v>1225229727</v>
      </c>
      <c r="B18" t="str">
        <f>" ADAM SEIGERS"</f>
        <v xml:space="preserve"> ADAM SEIGERS</v>
      </c>
      <c r="C18" t="str">
        <f>"FAXTON-ST LUKES HEALTHCARE"</f>
        <v>FAXTON-ST LUKES HEALTHCARE</v>
      </c>
    </row>
    <row r="19" spans="1:3">
      <c r="A19" t="str">
        <f>"1336121946"</f>
        <v>1336121946</v>
      </c>
      <c r="B19" t="str">
        <f>" ADEBOWALE OGUNTOLA"</f>
        <v xml:space="preserve"> ADEBOWALE OGUNTOLA</v>
      </c>
      <c r="C19" t="str">
        <f>"LAURA MARTIN"</f>
        <v>LAURA MARTIN</v>
      </c>
    </row>
    <row r="20" spans="1:3">
      <c r="A20" t="str">
        <f>"1053577734"</f>
        <v>1053577734</v>
      </c>
      <c r="B20" t="str">
        <f>" ADNAN CEMER"</f>
        <v xml:space="preserve"> ADNAN CEMER</v>
      </c>
      <c r="C20" t="str">
        <f>"Slocum Dickson Medical Group"</f>
        <v>Slocum Dickson Medical Group</v>
      </c>
    </row>
    <row r="21" spans="1:3">
      <c r="A21" t="str">
        <f>"1376798520"</f>
        <v>1376798520</v>
      </c>
      <c r="B21" t="str">
        <f>" AGATA WOJTASIEWICZ"</f>
        <v xml:space="preserve"> AGATA WOJTASIEWICZ</v>
      </c>
      <c r="C21" t="str">
        <f>"BALDWINSVILLE FAMILY MEDICAL CARE"</f>
        <v>BALDWINSVILLE FAMILY MEDICAL CARE</v>
      </c>
    </row>
    <row r="22" spans="1:3">
      <c r="A22" t="str">
        <f>"1427037159"</f>
        <v>1427037159</v>
      </c>
      <c r="B22" t="str">
        <f>" AHMAD MEHDI"</f>
        <v xml:space="preserve"> AHMAD MEHDI</v>
      </c>
      <c r="C22" t="str">
        <f>"Ahmad M. Mehdi MD"</f>
        <v>Ahmad M. Mehdi MD</v>
      </c>
    </row>
    <row r="23" spans="1:3">
      <c r="A23" t="str">
        <f>"1063590115"</f>
        <v>1063590115</v>
      </c>
      <c r="B23" t="str">
        <f>" AHMED R. NIZAR"</f>
        <v xml:space="preserve"> AHMED R. NIZAR</v>
      </c>
      <c r="C23" t="str">
        <f>"ST JOSEPH OUTPATIENT BEHAVIORAL HEALTH"</f>
        <v>ST JOSEPH OUTPATIENT BEHAVIORAL HEALTH</v>
      </c>
    </row>
    <row r="24" spans="1:3">
      <c r="A24" t="str">
        <f>"1215017371"</f>
        <v>1215017371</v>
      </c>
      <c r="B24" t="str">
        <f>" AJAZ SHAWL"</f>
        <v xml:space="preserve"> AJAZ SHAWL</v>
      </c>
      <c r="C24" t="s">
        <v>2</v>
      </c>
    </row>
    <row r="25" spans="1:3">
      <c r="A25" t="str">
        <f>"1275524233"</f>
        <v>1275524233</v>
      </c>
      <c r="B25" t="str">
        <f>" ALBERT NERI JR."</f>
        <v xml:space="preserve"> ALBERT NERI JR.</v>
      </c>
      <c r="C25" t="str">
        <f>"GENEVA COMMUNITY HEALTH"</f>
        <v>GENEVA COMMUNITY HEALTH</v>
      </c>
    </row>
    <row r="26" spans="1:3">
      <c r="A26" t="str">
        <f>"1598056202"</f>
        <v>1598056202</v>
      </c>
      <c r="B26" t="str">
        <f>" ALEXANDER FILIPSKI"</f>
        <v xml:space="preserve"> ALEXANDER FILIPSKI</v>
      </c>
      <c r="C26" t="str">
        <f>"JOHN O`BRIEN"</f>
        <v>JOHN O`BRIEN</v>
      </c>
    </row>
    <row r="27" spans="1:3">
      <c r="A27" t="str">
        <f>"1528244555"</f>
        <v>1528244555</v>
      </c>
      <c r="B27" t="str">
        <f>" ALICE MILLER"</f>
        <v xml:space="preserve"> ALICE MILLER</v>
      </c>
      <c r="C27" t="str">
        <f>"Family Care Medical Group"</f>
        <v>Family Care Medical Group</v>
      </c>
    </row>
    <row r="28" spans="1:3">
      <c r="A28" t="str">
        <f>"1619986205"</f>
        <v>1619986205</v>
      </c>
      <c r="B28" t="str">
        <f>" ALLISON LOI"</f>
        <v xml:space="preserve"> ALLISON LOI</v>
      </c>
      <c r="C28" t="str">
        <f>"Upstate University Hospital @ Community"</f>
        <v>Upstate University Hospital @ Community</v>
      </c>
    </row>
    <row r="29" spans="1:3">
      <c r="A29" t="str">
        <f>"1326297094"</f>
        <v>1326297094</v>
      </c>
      <c r="B29" t="str">
        <f>" AMANDA SCULLION"</f>
        <v xml:space="preserve"> AMANDA SCULLION</v>
      </c>
      <c r="C29" t="s">
        <v>3</v>
      </c>
    </row>
    <row r="30" spans="1:3">
      <c r="A30" t="str">
        <f>"1053378612"</f>
        <v>1053378612</v>
      </c>
      <c r="B30" t="str">
        <f>" AMOGECHUKWU OKONKWO"</f>
        <v xml:space="preserve"> AMOGECHUKWU OKONKWO</v>
      </c>
      <c r="C30" t="str">
        <f>"St. Joseph Physicians"</f>
        <v>St. Joseph Physicians</v>
      </c>
    </row>
    <row r="31" spans="1:3">
      <c r="A31" t="str">
        <f>"1306093091"</f>
        <v>1306093091</v>
      </c>
      <c r="B31" t="str">
        <f>" AMY DIFABIO"</f>
        <v xml:space="preserve"> AMY DIFABIO</v>
      </c>
      <c r="C31" t="s">
        <v>4</v>
      </c>
    </row>
    <row r="32" spans="1:3">
      <c r="A32" t="str">
        <f>"1225022437"</f>
        <v>1225022437</v>
      </c>
      <c r="B32" t="str">
        <f>" AMY GORCZYNSKI"</f>
        <v xml:space="preserve"> AMY GORCZYNSKI</v>
      </c>
      <c r="C32" t="s">
        <v>5</v>
      </c>
    </row>
    <row r="33" spans="1:3">
      <c r="A33" t="str">
        <f>"1154322469"</f>
        <v>1154322469</v>
      </c>
      <c r="B33" t="str">
        <f>" AMY GRACE"</f>
        <v xml:space="preserve"> AMY GRACE</v>
      </c>
      <c r="C33" t="str">
        <f>"AMY GRACE"</f>
        <v>AMY GRACE</v>
      </c>
    </row>
    <row r="34" spans="1:3">
      <c r="A34" t="str">
        <f>"1750534822"</f>
        <v>1750534822</v>
      </c>
      <c r="B34" t="str">
        <f>" AMY KASPEREK"</f>
        <v xml:space="preserve"> AMY KASPEREK</v>
      </c>
      <c r="C34" t="str">
        <f>"PEGASUS MEDICINE GROUP EMPIRE STATE"</f>
        <v>PEGASUS MEDICINE GROUP EMPIRE STATE</v>
      </c>
    </row>
    <row r="35" spans="1:3">
      <c r="A35" t="str">
        <f>"1265466171"</f>
        <v>1265466171</v>
      </c>
      <c r="B35" t="str">
        <f>" AMY WERCHINSKI"</f>
        <v xml:space="preserve"> AMY WERCHINSKI</v>
      </c>
      <c r="C35" t="str">
        <f>"AMY WERCHINSKI"</f>
        <v>AMY WERCHINSKI</v>
      </c>
    </row>
    <row r="36" spans="1:3">
      <c r="A36" t="str">
        <f>"1669550687"</f>
        <v>1669550687</v>
      </c>
      <c r="B36" t="str">
        <f>" ANDREW BLACK"</f>
        <v xml:space="preserve"> ANDREW BLACK</v>
      </c>
      <c r="C36" t="s">
        <v>6</v>
      </c>
    </row>
    <row r="37" spans="1:3">
      <c r="A37" t="str">
        <f>"1396748414"</f>
        <v>1396748414</v>
      </c>
      <c r="B37" t="str">
        <f>" ANDREW FINLEY"</f>
        <v xml:space="preserve"> ANDREW FINLEY</v>
      </c>
      <c r="C37" t="s">
        <v>7</v>
      </c>
    </row>
    <row r="38" spans="1:3">
      <c r="A38" t="str">
        <f>"1366450892"</f>
        <v>1366450892</v>
      </c>
      <c r="B38" t="str">
        <f>" ANDREW MILONE"</f>
        <v xml:space="preserve"> ANDREW MILONE</v>
      </c>
      <c r="C38" t="str">
        <f>"FAXTON-ST LUKES HEALTHCARE"</f>
        <v>FAXTON-ST LUKES HEALTHCARE</v>
      </c>
    </row>
    <row r="39" spans="1:3">
      <c r="A39" t="str">
        <f>"1467793273"</f>
        <v>1467793273</v>
      </c>
      <c r="B39" t="str">
        <f>" ANDREW P. HATHAWAY"</f>
        <v xml:space="preserve"> ANDREW P. HATHAWAY</v>
      </c>
      <c r="C39" t="str">
        <f>"St. Joseph Physicians"</f>
        <v>St. Joseph Physicians</v>
      </c>
    </row>
    <row r="40" spans="1:3">
      <c r="A40" t="str">
        <f>"1154365286"</f>
        <v>1154365286</v>
      </c>
      <c r="B40" t="str">
        <f>" ANDREW WILLIAMS"</f>
        <v xml:space="preserve"> ANDREW WILLIAMS</v>
      </c>
      <c r="C40" t="str">
        <f>"COMMUNITY HEALTH CENTER"</f>
        <v>COMMUNITY HEALTH CENTER</v>
      </c>
    </row>
    <row r="41" spans="1:3">
      <c r="A41" t="str">
        <f>"1275818353"</f>
        <v>1275818353</v>
      </c>
      <c r="B41" t="str">
        <f>" ANILA KHALIQ"</f>
        <v xml:space="preserve"> ANILA KHALIQ</v>
      </c>
      <c r="C41" t="str">
        <f>"Rome Memorial Hospital"</f>
        <v>Rome Memorial Hospital</v>
      </c>
    </row>
    <row r="42" spans="1:3">
      <c r="A42" t="str">
        <f>"1891880423"</f>
        <v>1891880423</v>
      </c>
      <c r="B42" t="str">
        <f>" ANNMARIE DIXE"</f>
        <v xml:space="preserve"> ANNMARIE DIXE</v>
      </c>
      <c r="C42" t="s">
        <v>8</v>
      </c>
    </row>
    <row r="43" spans="1:3">
      <c r="A43" t="str">
        <f>"1518005834"</f>
        <v>1518005834</v>
      </c>
      <c r="B43" t="str">
        <f>" ANTHONY DIRUBBO"</f>
        <v xml:space="preserve"> ANTHONY DIRUBBO</v>
      </c>
      <c r="C43" t="str">
        <f>"DEPARTMENT OF MEDICINE - SUNY HSC"</f>
        <v>DEPARTMENT OF MEDICINE - SUNY HSC</v>
      </c>
    </row>
    <row r="44" spans="1:3">
      <c r="A44" t="str">
        <f>"1639420599"</f>
        <v>1639420599</v>
      </c>
      <c r="B44" t="str">
        <f>" ANTHONY GRACEFFO"</f>
        <v xml:space="preserve"> ANTHONY GRACEFFO</v>
      </c>
      <c r="C44" t="s">
        <v>9</v>
      </c>
    </row>
    <row r="45" spans="1:3">
      <c r="A45" t="str">
        <f>"1134356249"</f>
        <v>1134356249</v>
      </c>
      <c r="B45" t="str">
        <f>" ANTHONY ROTELLA"</f>
        <v xml:space="preserve"> ANTHONY ROTELLA</v>
      </c>
      <c r="C45" t="str">
        <f>"LYNN E. MILLER"</f>
        <v>LYNN E. MILLER</v>
      </c>
    </row>
    <row r="46" spans="1:3">
      <c r="A46" t="str">
        <f>"1922040138"</f>
        <v>1922040138</v>
      </c>
      <c r="B46" t="str">
        <f>" ANTONIO BRAGA"</f>
        <v xml:space="preserve"> ANTONIO BRAGA</v>
      </c>
      <c r="C46" t="str">
        <f>"KRISTEN"</f>
        <v>KRISTEN</v>
      </c>
    </row>
    <row r="47" spans="1:3">
      <c r="A47" t="str">
        <f>"1376707521"</f>
        <v>1376707521</v>
      </c>
      <c r="B47" t="str">
        <f>" ANWAR WASSEL"</f>
        <v xml:space="preserve"> ANWAR WASSEL</v>
      </c>
      <c r="C47" t="s">
        <v>10</v>
      </c>
    </row>
    <row r="48" spans="1:3">
      <c r="A48" t="str">
        <f>"1699880237"</f>
        <v>1699880237</v>
      </c>
      <c r="B48" t="str">
        <f>" APPARAO POONATI"</f>
        <v xml:space="preserve"> APPARAO POONATI</v>
      </c>
      <c r="C48" t="str">
        <f>"APPARAO POONATI"</f>
        <v>APPARAO POONATI</v>
      </c>
    </row>
    <row r="49" spans="1:3">
      <c r="A49" t="str">
        <f>"1497744916"</f>
        <v>1497744916</v>
      </c>
      <c r="B49" t="str">
        <f>" APURV KHANNA"</f>
        <v xml:space="preserve"> APURV KHANNA</v>
      </c>
      <c r="C49" t="str">
        <f>"DEPARTMENT OF MEDICINE - SUNY HSC"</f>
        <v>DEPARTMENT OF MEDICINE - SUNY HSC</v>
      </c>
    </row>
    <row r="50" spans="1:3">
      <c r="A50" t="str">
        <f>"1063659696"</f>
        <v>1063659696</v>
      </c>
      <c r="B50" t="str">
        <f>" ASHLY JOSEPH"</f>
        <v xml:space="preserve"> ASHLY JOSEPH</v>
      </c>
      <c r="C50" t="str">
        <f>"BASSETT HEALTHCARE/COOPERSTOWN"</f>
        <v>BASSETT HEALTHCARE/COOPERSTOWN</v>
      </c>
    </row>
    <row r="51" spans="1:3">
      <c r="A51" t="str">
        <f>"1730596636"</f>
        <v>1730596636</v>
      </c>
      <c r="B51" t="str">
        <f>" AUDRIEANNA RACITI"</f>
        <v xml:space="preserve"> AUDRIEANNA RACITI</v>
      </c>
      <c r="C51" t="str">
        <f>"Kindney and Hypertension Consultants"</f>
        <v>Kindney and Hypertension Consultants</v>
      </c>
    </row>
    <row r="52" spans="1:3">
      <c r="A52" t="str">
        <f>"1235225756"</f>
        <v>1235225756</v>
      </c>
      <c r="B52" t="str">
        <f>" AUSTIN TSAI"</f>
        <v xml:space="preserve"> AUSTIN TSAI</v>
      </c>
      <c r="C52" t="s">
        <v>2</v>
      </c>
    </row>
    <row r="53" spans="1:3">
      <c r="A53" t="str">
        <f>"1639453988"</f>
        <v>1639453988</v>
      </c>
      <c r="B53" t="str">
        <f>" AVERY MARZULLA"</f>
        <v xml:space="preserve"> AVERY MARZULLA</v>
      </c>
      <c r="C53" t="str">
        <f>"CPH North Fork Community Health Center"</f>
        <v>CPH North Fork Community Health Center</v>
      </c>
    </row>
    <row r="54" spans="1:3">
      <c r="A54" t="str">
        <f>"1053355115"</f>
        <v>1053355115</v>
      </c>
      <c r="B54" t="str">
        <f>" BARBARA KRENZER"</f>
        <v xml:space="preserve"> BARBARA KRENZER</v>
      </c>
      <c r="C54" t="str">
        <f>"DEPARTMENT OF MEDICINE - SUNY HSC"</f>
        <v>DEPARTMENT OF MEDICINE - SUNY HSC</v>
      </c>
    </row>
    <row r="55" spans="1:3">
      <c r="A55" t="str">
        <f>"1629002100"</f>
        <v>1629002100</v>
      </c>
      <c r="B55" t="str">
        <f>" BARBARA MARTIN"</f>
        <v xml:space="preserve"> BARBARA MARTIN</v>
      </c>
      <c r="C55" t="str">
        <f>"EMERGENCY PHYSICIANS SERVICES OF NEW YORK"</f>
        <v>EMERGENCY PHYSICIANS SERVICES OF NEW YORK</v>
      </c>
    </row>
    <row r="56" spans="1:3">
      <c r="A56" t="str">
        <f>"1316955214"</f>
        <v>1316955214</v>
      </c>
      <c r="B56" t="str">
        <f>" BENEDETTA MELNICK"</f>
        <v xml:space="preserve"> BENEDETTA MELNICK</v>
      </c>
      <c r="C56" t="s">
        <v>11</v>
      </c>
    </row>
    <row r="57" spans="1:3">
      <c r="A57" t="str">
        <f>"1962497529"</f>
        <v>1962497529</v>
      </c>
      <c r="B57" t="str">
        <f>" BENJAMIN HIMPLER"</f>
        <v xml:space="preserve"> BENJAMIN HIMPLER</v>
      </c>
      <c r="C57" t="s">
        <v>12</v>
      </c>
    </row>
    <row r="58" spans="1:3">
      <c r="A58" t="str">
        <f>"1609035716"</f>
        <v>1609035716</v>
      </c>
      <c r="B58" t="str">
        <f>" BENJAMIN RUDD"</f>
        <v xml:space="preserve"> BENJAMIN RUDD</v>
      </c>
      <c r="C58" t="str">
        <f>"BENJAMIN RUDD"</f>
        <v>BENJAMIN RUDD</v>
      </c>
    </row>
    <row r="59" spans="1:3">
      <c r="A59" t="str">
        <f>"1528396710"</f>
        <v>1528396710</v>
      </c>
      <c r="B59" t="str">
        <f>" BENJAMIN SOMMER"</f>
        <v xml:space="preserve"> BENJAMIN SOMMER</v>
      </c>
      <c r="C59" t="str">
        <f>"Camden family Care"</f>
        <v>Camden family Care</v>
      </c>
    </row>
    <row r="60" spans="1:3">
      <c r="A60" t="str">
        <f>"1295797462"</f>
        <v>1295797462</v>
      </c>
      <c r="B60" t="str">
        <f>" BETH WIEDEMAN"</f>
        <v xml:space="preserve"> BETH WIEDEMAN</v>
      </c>
      <c r="C60" t="str">
        <f>"ST. JOSEPH'S HOSPITAL HEALTH CENTER"</f>
        <v>ST. JOSEPH'S HOSPITAL HEALTH CENTER</v>
      </c>
    </row>
    <row r="61" spans="1:3">
      <c r="A61" t="str">
        <f>"1730515263"</f>
        <v>1730515263</v>
      </c>
      <c r="B61" t="str">
        <f>" BETHANY GLENN"</f>
        <v xml:space="preserve"> BETHANY GLENN</v>
      </c>
      <c r="C61" t="str">
        <f>"CROUSE HEALTH HOSPITAL"</f>
        <v>CROUSE HEALTH HOSPITAL</v>
      </c>
    </row>
    <row r="62" spans="1:3">
      <c r="A62" t="str">
        <f>"1154630366"</f>
        <v>1154630366</v>
      </c>
      <c r="B62" t="str">
        <f>" BOBBIERAE VANGORDER"</f>
        <v xml:space="preserve"> BOBBIERAE VANGORDER</v>
      </c>
      <c r="C62" t="str">
        <f>"FAMILY CARE MEDICAL GROUP"</f>
        <v>FAMILY CARE MEDICAL GROUP</v>
      </c>
    </row>
    <row r="63" spans="1:3">
      <c r="A63" t="str">
        <f>"1992727721"</f>
        <v>1992727721</v>
      </c>
      <c r="B63" t="str">
        <f>" BOBBY POHAR"</f>
        <v xml:space="preserve"> BOBBY POHAR</v>
      </c>
      <c r="C63" t="s">
        <v>2</v>
      </c>
    </row>
    <row r="64" spans="1:3">
      <c r="A64" t="str">
        <f>"1700873858"</f>
        <v>1700873858</v>
      </c>
      <c r="B64" t="str">
        <f>" BONNIE CASANOVA"</f>
        <v xml:space="preserve"> BONNIE CASANOVA</v>
      </c>
      <c r="C64" t="str">
        <f>"Community Health Behavioral Service"</f>
        <v>Community Health Behavioral Service</v>
      </c>
    </row>
    <row r="65" spans="1:3">
      <c r="A65" t="str">
        <f>"1205275286"</f>
        <v>1205275286</v>
      </c>
      <c r="B65" t="str">
        <f>" BRANDON CRANDALL"</f>
        <v xml:space="preserve"> BRANDON CRANDALL</v>
      </c>
      <c r="C65" t="str">
        <f>"ESTHER STEINBERG"</f>
        <v>ESTHER STEINBERG</v>
      </c>
    </row>
    <row r="66" spans="1:3">
      <c r="A66" t="str">
        <f>"1154323012"</f>
        <v>1154323012</v>
      </c>
      <c r="B66" t="str">
        <f>" BRIAN ALESSI"</f>
        <v xml:space="preserve"> BRIAN ALESSI</v>
      </c>
      <c r="C66" t="str">
        <f>"BRIAN ALESSI"</f>
        <v>BRIAN ALESSI</v>
      </c>
    </row>
    <row r="67" spans="1:3">
      <c r="A67" t="str">
        <f>"1841264660"</f>
        <v>1841264660</v>
      </c>
      <c r="B67" t="str">
        <f>" BRIAN THOMPSON"</f>
        <v xml:space="preserve"> BRIAN THOMPSON</v>
      </c>
      <c r="C67" t="str">
        <f>"KATHLEEN DERMADY"</f>
        <v>KATHLEEN DERMADY</v>
      </c>
    </row>
    <row r="68" spans="1:3">
      <c r="A68" t="str">
        <f>"1366425530"</f>
        <v>1366425530</v>
      </c>
      <c r="B68" t="str">
        <f>" BRIAN Y. CHANGLAI"</f>
        <v xml:space="preserve"> BRIAN Y. CHANGLAI</v>
      </c>
      <c r="C68" t="str">
        <f>"Family Care Medical Group"</f>
        <v>Family Care Medical Group</v>
      </c>
    </row>
    <row r="69" spans="1:3">
      <c r="A69" t="str">
        <f>"1306995253"</f>
        <v>1306995253</v>
      </c>
      <c r="B69" t="str">
        <f>" BRIDGET ARQUETTE"</f>
        <v xml:space="preserve"> BRIDGET ARQUETTE</v>
      </c>
      <c r="C69" t="str">
        <f>"Delta Medical "</f>
        <v xml:space="preserve">Delta Medical </v>
      </c>
    </row>
    <row r="70" spans="1:3">
      <c r="A70" t="str">
        <f>"1841496544"</f>
        <v>1841496544</v>
      </c>
      <c r="B70" t="str">
        <f>" BRIJ KUMAR"</f>
        <v xml:space="preserve"> BRIJ KUMAR</v>
      </c>
      <c r="C70" t="str">
        <f>"Sister Rose Vincent Family Medicine Center"</f>
        <v>Sister Rose Vincent Family Medicine Center</v>
      </c>
    </row>
    <row r="71" spans="1:3">
      <c r="A71" t="str">
        <f>"1659360659"</f>
        <v>1659360659</v>
      </c>
      <c r="B71" t="str">
        <f>" BRUCE ELWELL"</f>
        <v xml:space="preserve"> BRUCE ELWELL</v>
      </c>
      <c r="C71" t="str">
        <f>"BRUCE ELWELL"</f>
        <v>BRUCE ELWELL</v>
      </c>
    </row>
    <row r="72" spans="1:3">
      <c r="A72" t="str">
        <f>"1649230020"</f>
        <v>1649230020</v>
      </c>
      <c r="B72" t="str">
        <f>" BRUCE SILVERSTEIN"</f>
        <v xml:space="preserve"> BRUCE SILVERSTEIN</v>
      </c>
      <c r="C72" t="str">
        <f>"Family Care Medical Group"</f>
        <v>Family Care Medical Group</v>
      </c>
    </row>
    <row r="73" spans="1:3">
      <c r="A73" t="str">
        <f>"1003888967"</f>
        <v>1003888967</v>
      </c>
      <c r="B73" t="str">
        <f>" BRUCE SLAGLE"</f>
        <v xml:space="preserve"> BRUCE SLAGLE</v>
      </c>
      <c r="C73" t="str">
        <f>"EMPIRE STATE INPATIENT MEDICAL PLLC"</f>
        <v>EMPIRE STATE INPATIENT MEDICAL PLLC</v>
      </c>
    </row>
    <row r="74" spans="1:3">
      <c r="A74" t="str">
        <f>"1023271954"</f>
        <v>1023271954</v>
      </c>
      <c r="B74" t="str">
        <f>" BUKIE AKINPELU"</f>
        <v xml:space="preserve"> BUKIE AKINPELU</v>
      </c>
      <c r="C74" t="str">
        <f>"BUKIE AKINPELU"</f>
        <v>BUKIE AKINPELU</v>
      </c>
    </row>
    <row r="75" spans="1:3">
      <c r="A75" t="str">
        <f>"1720153497"</f>
        <v>1720153497</v>
      </c>
      <c r="B75" t="str">
        <f>" BYUONG RYU"</f>
        <v xml:space="preserve"> BYUONG RYU</v>
      </c>
      <c r="C75" t="str">
        <f>"LOFTUS AND RYU MDS PC"</f>
        <v>LOFTUS AND RYU MDS PC</v>
      </c>
    </row>
    <row r="76" spans="1:3">
      <c r="A76" t="str">
        <f>"1447271259"</f>
        <v>1447271259</v>
      </c>
      <c r="B76" t="str">
        <f>" CARLOS DATOR"</f>
        <v xml:space="preserve"> CARLOS DATOR</v>
      </c>
      <c r="C76" t="str">
        <f>"CARLOS DATOR"</f>
        <v>CARLOS DATOR</v>
      </c>
    </row>
    <row r="77" spans="1:3">
      <c r="A77" t="str">
        <f>"1831194711"</f>
        <v>1831194711</v>
      </c>
      <c r="B77" t="str">
        <f>" CARMELITA WOODS"</f>
        <v xml:space="preserve"> CARMELITA WOODS</v>
      </c>
      <c r="C77" t="str">
        <f>"CHRISTOPHER WATTS"</f>
        <v>CHRISTOPHER WATTS</v>
      </c>
    </row>
    <row r="78" spans="1:3">
      <c r="A78" t="str">
        <f>"1346267291"</f>
        <v>1346267291</v>
      </c>
      <c r="B78" t="str">
        <f>" CARMEN BAUTISTA-DATOR"</f>
        <v xml:space="preserve"> CARMEN BAUTISTA-DATOR</v>
      </c>
      <c r="C78" t="s">
        <v>13</v>
      </c>
    </row>
    <row r="79" spans="1:3">
      <c r="A79" t="str">
        <f>"1851305064"</f>
        <v>1851305064</v>
      </c>
      <c r="B79" t="str">
        <f>" CARMEN J. FEDERICO"</f>
        <v xml:space="preserve"> CARMEN J. FEDERICO</v>
      </c>
      <c r="C79" t="str">
        <f>"FAMILYCARE MEDICAL GROUP"</f>
        <v>FAMILYCARE MEDICAL GROUP</v>
      </c>
    </row>
    <row r="80" spans="1:3">
      <c r="A80" t="str">
        <f>"1932144227"</f>
        <v>1932144227</v>
      </c>
      <c r="B80" t="str">
        <f>" CARMINE MASTROLIA"</f>
        <v xml:space="preserve"> CARMINE MASTROLIA</v>
      </c>
      <c r="C80" t="str">
        <f>"CARMINE MASTROLIA MD"</f>
        <v>CARMINE MASTROLIA MD</v>
      </c>
    </row>
    <row r="81" spans="1:3">
      <c r="A81" t="str">
        <f>"1730113697"</f>
        <v>1730113697</v>
      </c>
      <c r="B81" t="str">
        <f>" CAROL ROGERS"</f>
        <v xml:space="preserve"> CAROL ROGERS</v>
      </c>
      <c r="C81" t="s">
        <v>14</v>
      </c>
    </row>
    <row r="82" spans="1:3">
      <c r="A82" t="str">
        <f>"1962824805"</f>
        <v>1962824805</v>
      </c>
      <c r="B82" t="str">
        <f>" CAROLYN ADAMS"</f>
        <v xml:space="preserve"> CAROLYN ADAMS</v>
      </c>
      <c r="C82" t="s">
        <v>3</v>
      </c>
    </row>
    <row r="83" spans="1:3">
      <c r="A83" t="str">
        <f>"1154544039"</f>
        <v>1154544039</v>
      </c>
      <c r="B83" t="str">
        <f>" CAROLYN SMITH"</f>
        <v xml:space="preserve"> CAROLYN SMITH</v>
      </c>
      <c r="C83" t="str">
        <f>"MARK WARFEL"</f>
        <v>MARK WARFEL</v>
      </c>
    </row>
    <row r="84" spans="1:3">
      <c r="A84" t="str">
        <f>"1780930206"</f>
        <v>1780930206</v>
      </c>
      <c r="B84" t="str">
        <f>" CARSHENA M. WILLIAMS"</f>
        <v xml:space="preserve"> CARSHENA M. WILLIAMS</v>
      </c>
      <c r="C84" t="str">
        <f>"SYRACUSE COMMUNITY HEALTH CENTER"</f>
        <v>SYRACUSE COMMUNITY HEALTH CENTER</v>
      </c>
    </row>
    <row r="85" spans="1:3">
      <c r="A85" t="str">
        <f>"1770505216"</f>
        <v>1770505216</v>
      </c>
      <c r="B85" t="str">
        <f>" CATHERINE BAZAN"</f>
        <v xml:space="preserve"> CATHERINE BAZAN</v>
      </c>
      <c r="C85" t="str">
        <f>"DEPARTMENT OF MEDICINE - SUNY HSC"</f>
        <v>DEPARTMENT OF MEDICINE - SUNY HSC</v>
      </c>
    </row>
    <row r="86" spans="1:3">
      <c r="A86" t="str">
        <f>"1649213232"</f>
        <v>1649213232</v>
      </c>
      <c r="B86" t="str">
        <f>" CATHERINE TOMAIUOLI"</f>
        <v xml:space="preserve"> CATHERINE TOMAIUOLI</v>
      </c>
      <c r="C86" t="str">
        <f>"CHRISTOPHER WATTS"</f>
        <v>CHRISTOPHER WATTS</v>
      </c>
    </row>
    <row r="87" spans="1:3">
      <c r="A87" t="str">
        <f>"1801981881"</f>
        <v>1801981881</v>
      </c>
      <c r="B87" t="str">
        <f>" CATHERINE WINTLE"</f>
        <v xml:space="preserve"> CATHERINE WINTLE</v>
      </c>
      <c r="C87" t="s">
        <v>15</v>
      </c>
    </row>
    <row r="88" spans="1:3">
      <c r="A88" t="str">
        <f>"1225096381"</f>
        <v>1225096381</v>
      </c>
      <c r="B88" t="str">
        <f>" CEDRIC FRANCIS"</f>
        <v xml:space="preserve"> CEDRIC FRANCIS</v>
      </c>
      <c r="C88" t="str">
        <f>"SYRACUSE COMMUNITY HEALTH CENTER"</f>
        <v>SYRACUSE COMMUNITY HEALTH CENTER</v>
      </c>
    </row>
    <row r="89" spans="1:3">
      <c r="A89" t="str">
        <f>"1043204258"</f>
        <v>1043204258</v>
      </c>
      <c r="B89" t="str">
        <f>" CELESTA HUNSIKER"</f>
        <v xml:space="preserve"> CELESTA HUNSIKER</v>
      </c>
      <c r="C89" t="str">
        <f>"CELESTA HUNSIKER"</f>
        <v>CELESTA HUNSIKER</v>
      </c>
    </row>
    <row r="90" spans="1:3">
      <c r="A90" t="str">
        <f>"1477518868"</f>
        <v>1477518868</v>
      </c>
      <c r="B90" t="str">
        <f>" CESAR BARUJA-BAQUER"</f>
        <v xml:space="preserve"> CESAR BARUJA-BAQUER</v>
      </c>
      <c r="C90" t="str">
        <f>"SYRACUSE COMMUNITY HEALTH CENTER"</f>
        <v>SYRACUSE COMMUNITY HEALTH CENTER</v>
      </c>
    </row>
    <row r="91" spans="1:3">
      <c r="A91" t="str">
        <f>"1578541926"</f>
        <v>1578541926</v>
      </c>
      <c r="B91" t="str">
        <f>" CHERILYN WHITE"</f>
        <v xml:space="preserve"> CHERILYN WHITE</v>
      </c>
      <c r="C91" t="str">
        <f>"FAMILY HEALTH NETWORK"</f>
        <v>FAMILY HEALTH NETWORK</v>
      </c>
    </row>
    <row r="92" spans="1:3">
      <c r="A92" t="str">
        <f>"1053356758"</f>
        <v>1053356758</v>
      </c>
      <c r="B92" t="str">
        <f>" CHERYL GAGNON"</f>
        <v xml:space="preserve"> CHERYL GAGNON</v>
      </c>
      <c r="C92" t="s">
        <v>16</v>
      </c>
    </row>
    <row r="93" spans="1:3">
      <c r="A93" t="str">
        <f>"1083602221"</f>
        <v>1083602221</v>
      </c>
      <c r="B93" t="str">
        <f>" CHERYL MATTERN"</f>
        <v xml:space="preserve"> CHERYL MATTERN</v>
      </c>
      <c r="C93" t="str">
        <f>"FAMILY HEALTH CENTER OF CMH"</f>
        <v>FAMILY HEALTH CENTER OF CMH</v>
      </c>
    </row>
    <row r="94" spans="1:3">
      <c r="A94" t="str">
        <f>"1659612919"</f>
        <v>1659612919</v>
      </c>
      <c r="B94" t="str">
        <f>" CHING YIN LEE"</f>
        <v xml:space="preserve"> CHING YIN LEE</v>
      </c>
      <c r="C94" t="str">
        <f>"Upstate University Hospital @ Community"</f>
        <v>Upstate University Hospital @ Community</v>
      </c>
    </row>
    <row r="95" spans="1:3">
      <c r="A95" t="str">
        <f>"1942290358"</f>
        <v>1942290358</v>
      </c>
      <c r="B95" t="str">
        <f>" CHRISTINA M. LIEPKE"</f>
        <v xml:space="preserve"> CHRISTINA M. LIEPKE</v>
      </c>
      <c r="C95" t="str">
        <f>"PORT CITY FAMILY MEDICINE"</f>
        <v>PORT CITY FAMILY MEDICINE</v>
      </c>
    </row>
    <row r="96" spans="1:3">
      <c r="A96" t="str">
        <f>"1033134614"</f>
        <v>1033134614</v>
      </c>
      <c r="B96" t="str">
        <f>" CHRISTINE HEAGLE-BAHN"</f>
        <v xml:space="preserve"> CHRISTINE HEAGLE-BAHN</v>
      </c>
      <c r="C96" t="str">
        <f>"DEPARTMENT OF MEDICINE MSG"</f>
        <v>DEPARTMENT OF MEDICINE MSG</v>
      </c>
    </row>
    <row r="97" spans="1:3">
      <c r="A97" t="str">
        <f>"1932151289"</f>
        <v>1932151289</v>
      </c>
      <c r="B97" t="str">
        <f>" CHRISTOPHER WATTS"</f>
        <v xml:space="preserve"> CHRISTOPHER WATTS</v>
      </c>
      <c r="C97" t="str">
        <f>"CHRISTOPHER WATTS"</f>
        <v>CHRISTOPHER WATTS</v>
      </c>
    </row>
    <row r="98" spans="1:3">
      <c r="A98" t="str">
        <f>"1477808244"</f>
        <v>1477808244</v>
      </c>
      <c r="B98" t="str">
        <f>" CINDY MARSHALL"</f>
        <v xml:space="preserve"> CINDY MARSHALL</v>
      </c>
      <c r="C98" t="str">
        <f>"Community Memorial Health Center"</f>
        <v>Community Memorial Health Center</v>
      </c>
    </row>
    <row r="99" spans="1:3">
      <c r="A99" t="str">
        <f>"1942462957"</f>
        <v>1942462957</v>
      </c>
      <c r="B99" t="str">
        <f>" CINTHIA L. ELKINS"</f>
        <v xml:space="preserve"> CINTHIA L. ELKINS</v>
      </c>
      <c r="C99" t="str">
        <f>"FAMILY MEDICINE MEDICAL SERVICE GROUP"</f>
        <v>FAMILY MEDICINE MEDICAL SERVICE GROUP</v>
      </c>
    </row>
    <row r="100" spans="1:3">
      <c r="A100" t="str">
        <f>"1659378586"</f>
        <v>1659378586</v>
      </c>
      <c r="B100" t="str">
        <f>" CLIFFORD GREEN"</f>
        <v xml:space="preserve"> CLIFFORD GREEN</v>
      </c>
      <c r="C100" t="str">
        <f>"CROUSE HEALTH HOSPITAL"</f>
        <v>CROUSE HEALTH HOSPITAL</v>
      </c>
    </row>
    <row r="101" spans="1:3">
      <c r="A101" t="str">
        <f>"1760428908"</f>
        <v>1760428908</v>
      </c>
      <c r="B101" t="str">
        <f>" CLYDE SATTERLY"</f>
        <v xml:space="preserve"> CLYDE SATTERLY</v>
      </c>
      <c r="C101" t="str">
        <f>"FAMILY MEDICINE MEDICAL SERVICE GROUP"</f>
        <v>FAMILY MEDICINE MEDICAL SERVICE GROUP</v>
      </c>
    </row>
    <row r="102" spans="1:3">
      <c r="A102" t="str">
        <f>"1669438966"</f>
        <v>1669438966</v>
      </c>
      <c r="B102" t="str">
        <f>" COLETTE TANGEL"</f>
        <v xml:space="preserve"> COLETTE TANGEL</v>
      </c>
      <c r="C102" t="str">
        <f>"COLETTE TANGEL"</f>
        <v>COLETTE TANGEL</v>
      </c>
    </row>
    <row r="103" spans="1:3">
      <c r="A103" t="str">
        <f>"1992146054"</f>
        <v>1992146054</v>
      </c>
      <c r="B103" t="str">
        <f>" COLLEEN CURR"</f>
        <v xml:space="preserve"> COLLEEN CURR</v>
      </c>
      <c r="C103" t="str">
        <f>"ST JOSEPH'S HOSPITAL HEALTH CENTER"</f>
        <v>ST JOSEPH'S HOSPITAL HEALTH CENTER</v>
      </c>
    </row>
    <row r="104" spans="1:3">
      <c r="A104" t="str">
        <f>"1821293598"</f>
        <v>1821293598</v>
      </c>
      <c r="B104" t="str">
        <f>" COLLEEN PARENT"</f>
        <v xml:space="preserve"> COLLEEN PARENT</v>
      </c>
      <c r="C104" t="str">
        <f>"FAMILY HEALTH CENTER OF CMH"</f>
        <v>FAMILY HEALTH CENTER OF CMH</v>
      </c>
    </row>
    <row r="105" spans="1:3">
      <c r="A105" t="str">
        <f>"1275523672"</f>
        <v>1275523672</v>
      </c>
      <c r="B105" t="str">
        <f>" CORLISS VARNUM"</f>
        <v xml:space="preserve"> CORLISS VARNUM</v>
      </c>
      <c r="C105" t="str">
        <f>"PORT CITY FAMILY MEDICINE"</f>
        <v>PORT CITY FAMILY MEDICINE</v>
      </c>
    </row>
    <row r="106" spans="1:3">
      <c r="A106" t="str">
        <f>"1205157419"</f>
        <v>1205157419</v>
      </c>
      <c r="B106" t="str">
        <f>" CORRIE BURGESS"</f>
        <v xml:space="preserve"> CORRIE BURGESS</v>
      </c>
      <c r="C106" t="str">
        <f>"CORRIE BURGESS"</f>
        <v>CORRIE BURGESS</v>
      </c>
    </row>
    <row r="107" spans="1:3">
      <c r="A107" t="str">
        <f>"1447680194"</f>
        <v>1447680194</v>
      </c>
      <c r="B107" t="str">
        <f>" CRISTIN KIRKLAND"</f>
        <v xml:space="preserve"> CRISTIN KIRKLAND</v>
      </c>
      <c r="C107" t="str">
        <f>"FAXTON ST. LUKES ACP"</f>
        <v>FAXTON ST. LUKES ACP</v>
      </c>
    </row>
    <row r="108" spans="1:3">
      <c r="A108" t="str">
        <f>"1518912641"</f>
        <v>1518912641</v>
      </c>
      <c r="B108" t="str">
        <f>" CYNTHIA JONES"</f>
        <v xml:space="preserve"> CYNTHIA JONES</v>
      </c>
      <c r="C108" t="str">
        <f>"UTICA COMMUNITY HEALTH CENTER"</f>
        <v>UTICA COMMUNITY HEALTH CENTER</v>
      </c>
    </row>
    <row r="109" spans="1:3">
      <c r="A109" t="str">
        <f>"1942527098"</f>
        <v>1942527098</v>
      </c>
      <c r="B109" t="str">
        <f>" CYNTHIA STRESING"</f>
        <v xml:space="preserve"> CYNTHIA STRESING</v>
      </c>
      <c r="C109" t="str">
        <f>"Christian Health Services of Syracuse"</f>
        <v>Christian Health Services of Syracuse</v>
      </c>
    </row>
    <row r="110" spans="1:3">
      <c r="A110" t="str">
        <f>"1609833284"</f>
        <v>1609833284</v>
      </c>
      <c r="B110" t="str">
        <f>" DALE ADAMSON"</f>
        <v xml:space="preserve"> DALE ADAMSON</v>
      </c>
      <c r="C110" t="str">
        <f>"LITTLE FALLS SITE"</f>
        <v>LITTLE FALLS SITE</v>
      </c>
    </row>
    <row r="111" spans="1:3">
      <c r="A111" t="str">
        <f>"1518938802"</f>
        <v>1518938802</v>
      </c>
      <c r="B111" t="str">
        <f>" DANIEL BURKE"</f>
        <v xml:space="preserve"> DANIEL BURKE</v>
      </c>
      <c r="C111" t="str">
        <f>"COMMUNITY HEALTH &amp; BEHAVIORAL SERVICES"</f>
        <v>COMMUNITY HEALTH &amp; BEHAVIORAL SERVICES</v>
      </c>
    </row>
    <row r="112" spans="1:3">
      <c r="A112" t="str">
        <f>"1265468227"</f>
        <v>1265468227</v>
      </c>
      <c r="B112" t="str">
        <f>" DANIEL COTY"</f>
        <v xml:space="preserve"> DANIEL COTY</v>
      </c>
      <c r="C112" t="str">
        <f>"UNIVERSITY PHYSICIANS - OSWEGO"</f>
        <v>UNIVERSITY PHYSICIANS - OSWEGO</v>
      </c>
    </row>
    <row r="113" spans="1:3">
      <c r="A113" t="str">
        <f>"1780678896"</f>
        <v>1780678896</v>
      </c>
      <c r="B113" t="str">
        <f>" DANIEL GOODMAN"</f>
        <v xml:space="preserve"> DANIEL GOODMAN</v>
      </c>
      <c r="C113" t="str">
        <f>"CELESTA HUNSIKER"</f>
        <v>CELESTA HUNSIKER</v>
      </c>
    </row>
    <row r="114" spans="1:3">
      <c r="A114" t="str">
        <f>"1952391781"</f>
        <v>1952391781</v>
      </c>
      <c r="B114" t="str">
        <f>" DANIEL HORTH"</f>
        <v xml:space="preserve"> DANIEL HORTH</v>
      </c>
      <c r="C114" t="str">
        <f>"DANIEL HORTH"</f>
        <v>DANIEL HORTH</v>
      </c>
    </row>
    <row r="115" spans="1:3">
      <c r="A115" t="str">
        <f>"1558364885"</f>
        <v>1558364885</v>
      </c>
      <c r="B115" t="str">
        <f>" DANIEL RANCIER"</f>
        <v xml:space="preserve"> DANIEL RANCIER</v>
      </c>
      <c r="C115" t="str">
        <f>"EMERGENCY CARE SERVICES SERVICES OF NY PC"</f>
        <v>EMERGENCY CARE SERVICES SERVICES OF NY PC</v>
      </c>
    </row>
    <row r="116" spans="1:3">
      <c r="A116" t="str">
        <f>"1952538464"</f>
        <v>1952538464</v>
      </c>
      <c r="B116" t="str">
        <f>" DANIEL SPANGENBERG"</f>
        <v xml:space="preserve"> DANIEL SPANGENBERG</v>
      </c>
      <c r="C116" t="str">
        <f>"PHYSICIAN CARE PC"</f>
        <v>PHYSICIAN CARE PC</v>
      </c>
    </row>
    <row r="117" spans="1:3">
      <c r="A117" t="str">
        <f>"1396087144"</f>
        <v>1396087144</v>
      </c>
      <c r="B117" t="str">
        <f>" DARONDA SHEPARD"</f>
        <v xml:space="preserve"> DARONDA SHEPARD</v>
      </c>
      <c r="C117" t="str">
        <f>"PLANNED PARENTHOOD OF CENTRAL AND WESTERN NY INC"</f>
        <v>PLANNED PARENTHOOD OF CENTRAL AND WESTERN NY INC</v>
      </c>
    </row>
    <row r="118" spans="1:3">
      <c r="A118" t="str">
        <f>"1396800454"</f>
        <v>1396800454</v>
      </c>
      <c r="B118" t="str">
        <f>" DAVID BARBER"</f>
        <v xml:space="preserve"> DAVID BARBER</v>
      </c>
      <c r="C118" t="str">
        <f>"NOCHSI PULASKI HEALTH CENTER"</f>
        <v>NOCHSI PULASKI HEALTH CENTER</v>
      </c>
    </row>
    <row r="119" spans="1:3">
      <c r="A119" t="str">
        <f>"1124075577"</f>
        <v>1124075577</v>
      </c>
      <c r="B119" t="str">
        <f>" DAVID CHENG"</f>
        <v xml:space="preserve"> DAVID CHENG</v>
      </c>
      <c r="C119" t="str">
        <f>"DAVID CHENG"</f>
        <v>DAVID CHENG</v>
      </c>
    </row>
    <row r="120" spans="1:3">
      <c r="A120" t="str">
        <f>"1841380870"</f>
        <v>1841380870</v>
      </c>
      <c r="B120" t="str">
        <f>" DAVID CLARK"</f>
        <v xml:space="preserve"> DAVID CLARK</v>
      </c>
      <c r="C120" t="str">
        <f>"DAVID CLARK"</f>
        <v>DAVID CLARK</v>
      </c>
    </row>
    <row r="121" spans="1:3">
      <c r="A121" t="str">
        <f>"1114920345"</f>
        <v>1114920345</v>
      </c>
      <c r="B121" t="str">
        <f>" DAVID DEMPSEY"</f>
        <v xml:space="preserve"> DAVID DEMPSEY</v>
      </c>
      <c r="C121" t="str">
        <f>"Brasher Falls Family Health"</f>
        <v>Brasher Falls Family Health</v>
      </c>
    </row>
    <row r="122" spans="1:3">
      <c r="A122" t="str">
        <f>"1225140536"</f>
        <v>1225140536</v>
      </c>
      <c r="B122" t="str">
        <f>" DAVID DOWNEY"</f>
        <v xml:space="preserve"> DAVID DOWNEY</v>
      </c>
      <c r="C122" t="str">
        <f>"PHYSICIAN CARE PC"</f>
        <v>PHYSICIAN CARE PC</v>
      </c>
    </row>
    <row r="123" spans="1:3">
      <c r="A123" t="str">
        <f>"1710066162"</f>
        <v>1710066162</v>
      </c>
      <c r="B123" t="str">
        <f>" DAVID KOLVA"</f>
        <v xml:space="preserve"> DAVID KOLVA</v>
      </c>
      <c r="C123" t="s">
        <v>2</v>
      </c>
    </row>
    <row r="124" spans="1:3">
      <c r="A124" t="str">
        <f>"1225050404"</f>
        <v>1225050404</v>
      </c>
      <c r="B124" t="str">
        <f>" DAVID LIU"</f>
        <v xml:space="preserve"> DAVID LIU</v>
      </c>
      <c r="C124" t="str">
        <f>"Tri County Medical"</f>
        <v>Tri County Medical</v>
      </c>
    </row>
    <row r="125" spans="1:3">
      <c r="A125" t="str">
        <f>"1659463677"</f>
        <v>1659463677</v>
      </c>
      <c r="B125" t="str">
        <f>" DAVID MARTIN"</f>
        <v xml:space="preserve"> DAVID MARTIN</v>
      </c>
      <c r="C125" t="s">
        <v>17</v>
      </c>
    </row>
    <row r="126" spans="1:3">
      <c r="A126" t="str">
        <f>"1497006043"</f>
        <v>1497006043</v>
      </c>
      <c r="B126" t="str">
        <f>" DAVID N. HAMMACK"</f>
        <v xml:space="preserve"> DAVID N. HAMMACK</v>
      </c>
      <c r="C126" t="str">
        <f>"St. Joseph Physicians"</f>
        <v>St. Joseph Physicians</v>
      </c>
    </row>
    <row r="127" spans="1:3">
      <c r="A127" t="str">
        <f>"1417937780"</f>
        <v>1417937780</v>
      </c>
      <c r="B127" t="str">
        <f>" DAVID OUYANG"</f>
        <v xml:space="preserve"> DAVID OUYANG</v>
      </c>
      <c r="C127" t="str">
        <f>"ST JOSEPH'S MEDICAL PC"</f>
        <v>ST JOSEPH'S MEDICAL PC</v>
      </c>
    </row>
    <row r="128" spans="1:3">
      <c r="A128" t="str">
        <f>"1003900440"</f>
        <v>1003900440</v>
      </c>
      <c r="B128" t="str">
        <f>" DAVID PETRIE"</f>
        <v xml:space="preserve"> DAVID PETRIE</v>
      </c>
      <c r="C128" t="str">
        <f>"Adirondack Community Physicians - WV"</f>
        <v>Adirondack Community Physicians - WV</v>
      </c>
    </row>
    <row r="129" spans="1:3">
      <c r="A129" t="str">
        <f>"1174550594"</f>
        <v>1174550594</v>
      </c>
      <c r="B129" t="str">
        <f>" DAVID SMALL"</f>
        <v xml:space="preserve"> DAVID SMALL</v>
      </c>
      <c r="C129" t="str">
        <f>"DEPARTMENT OF MEDICINE - SUNY HSC"</f>
        <v>DEPARTMENT OF MEDICINE - SUNY HSC</v>
      </c>
    </row>
    <row r="130" spans="1:3">
      <c r="A130" t="str">
        <f>"1932481496"</f>
        <v>1932481496</v>
      </c>
      <c r="B130" t="str">
        <f>" DAVIDA PARKER"</f>
        <v xml:space="preserve"> DAVIDA PARKER</v>
      </c>
      <c r="C130" t="str">
        <f>"SYRACUSE COMMUNITY HEALTH CENTER"</f>
        <v>SYRACUSE COMMUNITY HEALTH CENTER</v>
      </c>
    </row>
    <row r="131" spans="1:3">
      <c r="A131" t="str">
        <f>"1689604357"</f>
        <v>1689604357</v>
      </c>
      <c r="B131" t="str">
        <f>" DAWN BRINK-CYMERMAN"</f>
        <v xml:space="preserve"> DAWN BRINK-CYMERMAN</v>
      </c>
      <c r="C131" t="s">
        <v>2</v>
      </c>
    </row>
    <row r="132" spans="1:3">
      <c r="A132" t="str">
        <f>"1689012650"</f>
        <v>1689012650</v>
      </c>
      <c r="B132" t="str">
        <f>" DAWN RICHARDSON"</f>
        <v xml:space="preserve"> DAWN RICHARDSON</v>
      </c>
      <c r="C132" t="str">
        <f>"St. Joseph Physicians"</f>
        <v>St. Joseph Physicians</v>
      </c>
    </row>
    <row r="133" spans="1:3">
      <c r="A133" t="str">
        <f>"1003937715"</f>
        <v>1003937715</v>
      </c>
      <c r="B133" t="str">
        <f>" DAYAL RAJA"</f>
        <v xml:space="preserve"> DAYAL RAJA</v>
      </c>
      <c r="C133" t="str">
        <f>"CELESTA HUNSIKER"</f>
        <v>CELESTA HUNSIKER</v>
      </c>
    </row>
    <row r="134" spans="1:3">
      <c r="A134" t="str">
        <f>"1154356996"</f>
        <v>1154356996</v>
      </c>
      <c r="B134" t="str">
        <f>" DEANN L. CUMMINGS"</f>
        <v xml:space="preserve"> DEANN L. CUMMINGS</v>
      </c>
      <c r="C134" t="s">
        <v>2</v>
      </c>
    </row>
    <row r="135" spans="1:3">
      <c r="A135" t="str">
        <f>"1639252422"</f>
        <v>1639252422</v>
      </c>
      <c r="B135" t="str">
        <f>" DEBORAH FREEMAN"</f>
        <v xml:space="preserve"> DEBORAH FREEMAN</v>
      </c>
      <c r="C135" t="s">
        <v>3</v>
      </c>
    </row>
    <row r="136" spans="1:3">
      <c r="A136" t="str">
        <f>"1689618498"</f>
        <v>1689618498</v>
      </c>
      <c r="B136" t="str">
        <f>" DEBRA BUCHAN"</f>
        <v xml:space="preserve"> DEBRA BUCHAN</v>
      </c>
      <c r="C136" t="str">
        <f>"UNIVERSITY OB/GYN ASSOCIATES INC"</f>
        <v>UNIVERSITY OB/GYN ASSOCIATES INC</v>
      </c>
    </row>
    <row r="137" spans="1:3">
      <c r="A137" t="str">
        <f>"1962430959"</f>
        <v>1962430959</v>
      </c>
      <c r="B137" t="str">
        <f>" DEBRA FARENGA"</f>
        <v xml:space="preserve"> DEBRA FARENGA</v>
      </c>
      <c r="C137" t="str">
        <f>"ITHACA CONVENIENT CARE CENTER"</f>
        <v>ITHACA CONVENIENT CARE CENTER</v>
      </c>
    </row>
    <row r="138" spans="1:3">
      <c r="A138" t="str">
        <f>"1538195433"</f>
        <v>1538195433</v>
      </c>
      <c r="B138" t="str">
        <f>" DEBRA MENESS"</f>
        <v xml:space="preserve"> DEBRA MENESS</v>
      </c>
      <c r="C138" t="str">
        <f>"MASH URGENT CARE CENTER"</f>
        <v>MASH URGENT CARE CENTER</v>
      </c>
    </row>
    <row r="139" spans="1:3">
      <c r="A139" t="str">
        <f>"1477533123"</f>
        <v>1477533123</v>
      </c>
      <c r="B139" t="str">
        <f>" DEMETRA VOUNAS"</f>
        <v xml:space="preserve"> DEMETRA VOUNAS</v>
      </c>
      <c r="C139" t="str">
        <f>"AUBURN PRIMARY CARE"</f>
        <v>AUBURN PRIMARY CARE</v>
      </c>
    </row>
    <row r="140" spans="1:3">
      <c r="A140" t="str">
        <f>"1841286325"</f>
        <v>1841286325</v>
      </c>
      <c r="B140" t="str">
        <f>" DENISE OCTAVIANI"</f>
        <v xml:space="preserve"> DENISE OCTAVIANI</v>
      </c>
      <c r="C140" t="str">
        <f>"DENISE OCTAVIANI"</f>
        <v>DENISE OCTAVIANI</v>
      </c>
    </row>
    <row r="141" spans="1:3">
      <c r="A141" t="str">
        <f>"1073598660"</f>
        <v>1073598660</v>
      </c>
      <c r="B141" t="str">
        <f>" DENNIS DALY"</f>
        <v xml:space="preserve"> DENNIS DALY</v>
      </c>
      <c r="C141" t="str">
        <f>"Advanced ENT Phys/Sgns PC"</f>
        <v>Advanced ENT Phys/Sgns PC</v>
      </c>
    </row>
    <row r="142" spans="1:3">
      <c r="A142" t="str">
        <f>"1366405508"</f>
        <v>1366405508</v>
      </c>
      <c r="B142" t="str">
        <f>" DIANE GREEN-EL"</f>
        <v xml:space="preserve"> DIANE GREEN-EL</v>
      </c>
      <c r="C142" t="str">
        <f>"SYRACUSE COMMUNITY HEALTH CENTER"</f>
        <v>SYRACUSE COMMUNITY HEALTH CENTER</v>
      </c>
    </row>
    <row r="143" spans="1:3">
      <c r="A143" t="str">
        <f>"1275666554"</f>
        <v>1275666554</v>
      </c>
      <c r="B143" t="str">
        <f>" DIANE MESZKO"</f>
        <v xml:space="preserve"> DIANE MESZKO</v>
      </c>
      <c r="C143" t="str">
        <f>"DIANE MESZKO"</f>
        <v>DIANE MESZKO</v>
      </c>
    </row>
    <row r="144" spans="1:3">
      <c r="A144" t="str">
        <f>"1811959935"</f>
        <v>1811959935</v>
      </c>
      <c r="B144" t="str">
        <f>" DIGANT NANAVATI"</f>
        <v xml:space="preserve"> DIGANT NANAVATI</v>
      </c>
      <c r="C144" t="str">
        <f>"Family Care Medical Group"</f>
        <v>Family Care Medical Group</v>
      </c>
    </row>
    <row r="145" spans="1:3">
      <c r="A145" t="str">
        <f>"1821037508"</f>
        <v>1821037508</v>
      </c>
      <c r="B145" t="str">
        <f>" DILIP ROY"</f>
        <v xml:space="preserve"> DILIP ROY</v>
      </c>
      <c r="C145" t="str">
        <f>"DILIP ROY"</f>
        <v>DILIP ROY</v>
      </c>
    </row>
    <row r="146" spans="1:3">
      <c r="A146" t="str">
        <f>"1689641995"</f>
        <v>1689641995</v>
      </c>
      <c r="B146" t="str">
        <f>" DONALD CALZOLAIO"</f>
        <v xml:space="preserve"> DONALD CALZOLAIO</v>
      </c>
      <c r="C146" t="str">
        <f>"DONALD CALZOLAIO"</f>
        <v>DONALD CALZOLAIO</v>
      </c>
    </row>
    <row r="147" spans="1:3">
      <c r="A147" t="str">
        <f>"1467453415"</f>
        <v>1467453415</v>
      </c>
      <c r="B147" t="str">
        <f>" DONALD NASH"</f>
        <v xml:space="preserve"> DONALD NASH</v>
      </c>
      <c r="C147" t="s">
        <v>18</v>
      </c>
    </row>
    <row r="148" spans="1:3">
      <c r="A148" t="str">
        <f>"1659450989"</f>
        <v>1659450989</v>
      </c>
      <c r="B148" t="str">
        <f>" DOUGLAS GUENTER"</f>
        <v xml:space="preserve"> DOUGLAS GUENTER</v>
      </c>
      <c r="C148" t="s">
        <v>19</v>
      </c>
    </row>
    <row r="149" spans="1:3">
      <c r="A149" t="str">
        <f>"1811929078"</f>
        <v>1811929078</v>
      </c>
      <c r="B149" t="str">
        <f>" DOUGLAS STOCKMAN"</f>
        <v xml:space="preserve"> DOUGLAS STOCKMAN</v>
      </c>
      <c r="C149" t="s">
        <v>20</v>
      </c>
    </row>
    <row r="150" spans="1:3">
      <c r="A150" t="str">
        <f>"1912275793"</f>
        <v>1912275793</v>
      </c>
      <c r="B150" t="str">
        <f>" EDITH SENYUMBA"</f>
        <v xml:space="preserve"> EDITH SENYUMBA</v>
      </c>
      <c r="C150" t="str">
        <f>"CARMEN S BAUTISTA-DATOR"</f>
        <v>CARMEN S BAUTISTA-DATOR</v>
      </c>
    </row>
    <row r="151" spans="1:3">
      <c r="A151" t="str">
        <f>"1780636704"</f>
        <v>1780636704</v>
      </c>
      <c r="B151" t="str">
        <f>" EDMUND ROACHE"</f>
        <v xml:space="preserve"> EDMUND ROACHE</v>
      </c>
      <c r="C151" t="str">
        <f>"Quick Med Urgent Care "</f>
        <v xml:space="preserve">Quick Med Urgent Care </v>
      </c>
    </row>
    <row r="152" spans="1:3">
      <c r="A152" t="str">
        <f>"1013325547"</f>
        <v>1013325547</v>
      </c>
      <c r="B152" t="str">
        <f>" ELAINE TOTH"</f>
        <v xml:space="preserve"> ELAINE TOTH</v>
      </c>
      <c r="C152" t="str">
        <f>"ST JOSEPH'S MEDICAL PC"</f>
        <v>ST JOSEPH'S MEDICAL PC</v>
      </c>
    </row>
    <row r="153" spans="1:3">
      <c r="A153" t="str">
        <f>"1518258235"</f>
        <v>1518258235</v>
      </c>
      <c r="B153" t="str">
        <f>" ELINA KERZUMA"</f>
        <v xml:space="preserve"> ELINA KERZUMA</v>
      </c>
      <c r="C153" t="str">
        <f>"FAXTON ST LUKES HEALTHCARE"</f>
        <v>FAXTON ST LUKES HEALTHCARE</v>
      </c>
    </row>
    <row r="154" spans="1:3">
      <c r="A154" t="str">
        <f>"1346494655"</f>
        <v>1346494655</v>
      </c>
      <c r="B154" t="str">
        <f>" ELIZABETH MCNANY"</f>
        <v xml:space="preserve"> ELIZABETH MCNANY</v>
      </c>
      <c r="C154" t="s">
        <v>2</v>
      </c>
    </row>
    <row r="155" spans="1:3">
      <c r="A155" t="str">
        <f>"1629029442"</f>
        <v>1629029442</v>
      </c>
      <c r="B155" t="str">
        <f>" ELLEN LARSON"</f>
        <v xml:space="preserve"> ELLEN LARSON</v>
      </c>
      <c r="C155" t="str">
        <f>"ELLEN LARSON"</f>
        <v>ELLEN LARSON</v>
      </c>
    </row>
    <row r="156" spans="1:3">
      <c r="A156" t="str">
        <f>"1659569390"</f>
        <v>1659569390</v>
      </c>
      <c r="B156" t="str">
        <f>" ELWALEED ELNOUR"</f>
        <v xml:space="preserve"> ELWALEED ELNOUR</v>
      </c>
      <c r="C156" t="str">
        <f>"ROSWELL PARK CANCER INSTITUTE"</f>
        <v>ROSWELL PARK CANCER INSTITUTE</v>
      </c>
    </row>
    <row r="157" spans="1:3">
      <c r="A157" t="str">
        <f>"1417198003"</f>
        <v>1417198003</v>
      </c>
      <c r="B157" t="str">
        <f>" EMEKA ANUMBA"</f>
        <v xml:space="preserve"> EMEKA ANUMBA</v>
      </c>
      <c r="C157" t="str">
        <f>"EMEKA ANUMBA"</f>
        <v>EMEKA ANUMBA</v>
      </c>
    </row>
    <row r="158" spans="1:3">
      <c r="A158" t="str">
        <f>"1023047552"</f>
        <v>1023047552</v>
      </c>
      <c r="B158" t="str">
        <f>" EMILE WASSEL"</f>
        <v xml:space="preserve"> EMILE WASSEL</v>
      </c>
      <c r="C158" t="str">
        <f>"EMILE WASSEL"</f>
        <v>EMILE WASSEL</v>
      </c>
    </row>
    <row r="159" spans="1:3">
      <c r="A159" t="str">
        <f>"1164837589"</f>
        <v>1164837589</v>
      </c>
      <c r="B159" t="str">
        <f>" EMILY GLISSON"</f>
        <v xml:space="preserve"> EMILY GLISSON</v>
      </c>
      <c r="C159" t="s">
        <v>21</v>
      </c>
    </row>
    <row r="160" spans="1:3">
      <c r="A160" t="str">
        <f>"1932547775"</f>
        <v>1932547775</v>
      </c>
      <c r="B160" t="str">
        <f>" EMILY WILSON"</f>
        <v xml:space="preserve"> EMILY WILSON</v>
      </c>
      <c r="C160" t="str">
        <f>"AUBURN COMMUNITY HOSPITAL"</f>
        <v>AUBURN COMMUNITY HOSPITAL</v>
      </c>
    </row>
    <row r="161" spans="1:3">
      <c r="A161" t="str">
        <f>"1093753923"</f>
        <v>1093753923</v>
      </c>
      <c r="B161" t="str">
        <f>" EMMANUEL BAPANA"</f>
        <v xml:space="preserve"> EMMANUEL BAPANA</v>
      </c>
      <c r="C161" t="s">
        <v>7</v>
      </c>
    </row>
    <row r="162" spans="1:3">
      <c r="A162" t="str">
        <f>"1952664641"</f>
        <v>1952664641</v>
      </c>
      <c r="B162" t="str">
        <f>" ERIC RODRIGUEZ"</f>
        <v xml:space="preserve"> ERIC RODRIGUEZ</v>
      </c>
      <c r="C162" t="str">
        <f>"CROUSE HEALTH HOSPITAL"</f>
        <v>CROUSE HEALTH HOSPITAL</v>
      </c>
    </row>
    <row r="163" spans="1:3">
      <c r="A163" t="str">
        <f>"1417278912"</f>
        <v>1417278912</v>
      </c>
      <c r="B163" t="str">
        <f>" ERIKA HEGLAND"</f>
        <v xml:space="preserve"> ERIKA HEGLAND</v>
      </c>
      <c r="C163" t="s">
        <v>2</v>
      </c>
    </row>
    <row r="164" spans="1:3">
      <c r="A164" t="str">
        <f>"1083692578"</f>
        <v>1083692578</v>
      </c>
      <c r="B164" t="str">
        <f>" ESTHER STEINBERG"</f>
        <v xml:space="preserve"> ESTHER STEINBERG</v>
      </c>
      <c r="C164" t="str">
        <f>"ESTHER STEINBERG"</f>
        <v>ESTHER STEINBERG</v>
      </c>
    </row>
    <row r="165" spans="1:3">
      <c r="A165" t="str">
        <f>"1578522926"</f>
        <v>1578522926</v>
      </c>
      <c r="B165" t="str">
        <f>" ETHAN FLAKS"</f>
        <v xml:space="preserve"> ETHAN FLAKS</v>
      </c>
      <c r="C165" t="str">
        <f>"CARDIOVASCULAR GROUP OF SYRACUSE"</f>
        <v>CARDIOVASCULAR GROUP OF SYRACUSE</v>
      </c>
    </row>
    <row r="166" spans="1:3">
      <c r="A166" t="str">
        <f>"1780604447"</f>
        <v>1780604447</v>
      </c>
      <c r="B166" t="str">
        <f>" EVA BRIGGS"</f>
        <v xml:space="preserve"> EVA BRIGGS</v>
      </c>
      <c r="C166" t="str">
        <f>"CENTRAL SQUARE URGENT CARE"</f>
        <v>CENTRAL SQUARE URGENT CARE</v>
      </c>
    </row>
    <row r="167" spans="1:3">
      <c r="A167" t="str">
        <f>"1104145010"</f>
        <v>1104145010</v>
      </c>
      <c r="B167" t="str">
        <f>" FARHANA BASIT"</f>
        <v xml:space="preserve"> FARHANA BASIT</v>
      </c>
      <c r="C167" t="str">
        <f>"North Country Family Health Center"</f>
        <v>North Country Family Health Center</v>
      </c>
    </row>
    <row r="168" spans="1:3">
      <c r="A168" t="str">
        <f>"1265538516"</f>
        <v>1265538516</v>
      </c>
      <c r="B168" t="str">
        <f>" FETEMA TZ ISLAM"</f>
        <v xml:space="preserve"> FETEMA TZ ISLAM</v>
      </c>
      <c r="C168" t="str">
        <f>"FETEMA TZ ISLAM"</f>
        <v>FETEMA TZ ISLAM</v>
      </c>
    </row>
    <row r="169" spans="1:3">
      <c r="A169" t="str">
        <f>"1023070133"</f>
        <v>1023070133</v>
      </c>
      <c r="B169" t="str">
        <f>" FILOFTEIA BADILA"</f>
        <v xml:space="preserve"> FILOFTEIA BADILA</v>
      </c>
      <c r="C169" t="str">
        <f>"INDIRA KOSHY"</f>
        <v>INDIRA KOSHY</v>
      </c>
    </row>
    <row r="170" spans="1:3">
      <c r="A170" t="str">
        <f>"1821220120"</f>
        <v>1821220120</v>
      </c>
      <c r="B170" t="str">
        <f>" FLOS CARMELI PIIT"</f>
        <v xml:space="preserve"> FLOS CARMELI PIIT</v>
      </c>
      <c r="C170" t="str">
        <f>"CPH Eye Care Center"</f>
        <v>CPH Eye Care Center</v>
      </c>
    </row>
    <row r="171" spans="1:3">
      <c r="A171" t="str">
        <f>"1326187683"</f>
        <v>1326187683</v>
      </c>
      <c r="B171" t="str">
        <f>" FRANCIS ARCE"</f>
        <v xml:space="preserve"> FRANCIS ARCE</v>
      </c>
      <c r="C171" t="str">
        <f>"ENDOCRINE ASSOCIATES OF OSWEGO"</f>
        <v>ENDOCRINE ASSOCIATES OF OSWEGO</v>
      </c>
    </row>
    <row r="172" spans="1:3">
      <c r="A172" t="str">
        <f>"1912996273"</f>
        <v>1912996273</v>
      </c>
      <c r="B172" t="str">
        <f>" FRANCIS CHABOT"</f>
        <v xml:space="preserve"> FRANCIS CHABOT</v>
      </c>
      <c r="C172" t="s">
        <v>22</v>
      </c>
    </row>
    <row r="173" spans="1:3">
      <c r="A173" t="str">
        <f>"1457340432"</f>
        <v>1457340432</v>
      </c>
      <c r="B173" t="str">
        <f>" FRANCIS CONSTANTINE"</f>
        <v xml:space="preserve"> FRANCIS CONSTANTINE</v>
      </c>
      <c r="C173" t="str">
        <f>"ST. ELIZABETH'S MEDICAL CENTER"</f>
        <v>ST. ELIZABETH'S MEDICAL CENTER</v>
      </c>
    </row>
    <row r="174" spans="1:3">
      <c r="A174" t="str">
        <f>"1992781686"</f>
        <v>1992781686</v>
      </c>
      <c r="B174" t="str">
        <f>" GAIL KEENEN"</f>
        <v xml:space="preserve"> GAIL KEENEN</v>
      </c>
      <c r="C174" t="str">
        <f>"Family Care Medical Group"</f>
        <v>Family Care Medical Group</v>
      </c>
    </row>
    <row r="175" spans="1:3">
      <c r="A175" t="str">
        <f>"1023026549"</f>
        <v>1023026549</v>
      </c>
      <c r="B175" t="str">
        <f>" GARY ENGLE"</f>
        <v xml:space="preserve"> GARY ENGLE</v>
      </c>
      <c r="C175" t="str">
        <f>"South Lewis Health Center"</f>
        <v>South Lewis Health Center</v>
      </c>
    </row>
    <row r="176" spans="1:3">
      <c r="A176" t="str">
        <f>"1073660684"</f>
        <v>1073660684</v>
      </c>
      <c r="B176" t="str">
        <f>" GAYLEN BIGELOW"</f>
        <v xml:space="preserve"> GAYLEN BIGELOW</v>
      </c>
      <c r="C176" t="str">
        <f>"Massena Memorial Hospital"</f>
        <v>Massena Memorial Hospital</v>
      </c>
    </row>
    <row r="177" spans="1:3">
      <c r="A177" t="str">
        <f>"1992784995"</f>
        <v>1992784995</v>
      </c>
      <c r="B177" t="str">
        <f>" GEETA SANGANI"</f>
        <v xml:space="preserve"> GEETA SANGANI</v>
      </c>
      <c r="C177" t="str">
        <f>"Family Care Medical Group"</f>
        <v>Family Care Medical Group</v>
      </c>
    </row>
    <row r="178" spans="1:3">
      <c r="A178" t="str">
        <f>"1982644019"</f>
        <v>1982644019</v>
      </c>
      <c r="B178" t="str">
        <f>" GEORGE DODDS"</f>
        <v xml:space="preserve"> GEORGE DODDS</v>
      </c>
      <c r="C178" t="str">
        <f>"MARY IMOGENE BASSETT HOSPITAL"</f>
        <v>MARY IMOGENE BASSETT HOSPITAL</v>
      </c>
    </row>
    <row r="179" spans="1:3">
      <c r="A179" t="str">
        <f>"1043201973"</f>
        <v>1043201973</v>
      </c>
      <c r="B179" t="str">
        <f>" GEORGE STANLEY"</f>
        <v xml:space="preserve"> GEORGE STANLEY</v>
      </c>
      <c r="C179" t="str">
        <f>"SYRACUSE COMMUNITY HEALTH CENTER"</f>
        <v>SYRACUSE COMMUNITY HEALTH CENTER</v>
      </c>
    </row>
    <row r="180" spans="1:3">
      <c r="A180" t="str">
        <f>"1265426480"</f>
        <v>1265426480</v>
      </c>
      <c r="B180" t="str">
        <f>" GEORGE TOMY"</f>
        <v xml:space="preserve"> GEORGE TOMY</v>
      </c>
      <c r="C180" t="str">
        <f>"Slocum-Dickson Medical Group"</f>
        <v>Slocum-Dickson Medical Group</v>
      </c>
    </row>
    <row r="181" spans="1:3">
      <c r="A181" t="str">
        <f>"1578508578"</f>
        <v>1578508578</v>
      </c>
      <c r="B181" t="str">
        <f>" GEORGE TRUSTY"</f>
        <v xml:space="preserve"> GEORGE TRUSTY</v>
      </c>
      <c r="C181" t="str">
        <f>"BUKIE AKINPELU"</f>
        <v>BUKIE AKINPELU</v>
      </c>
    </row>
    <row r="182" spans="1:3">
      <c r="A182" t="str">
        <f>"1487642138"</f>
        <v>1487642138</v>
      </c>
      <c r="B182" t="str">
        <f>" GERALD CALABRESE"</f>
        <v xml:space="preserve"> GERALD CALABRESE</v>
      </c>
      <c r="C182" t="str">
        <f>"GOUVERNEUR HOSPITAL"</f>
        <v>GOUVERNEUR HOSPITAL</v>
      </c>
    </row>
    <row r="183" spans="1:3">
      <c r="A183" t="str">
        <f>"1487673125"</f>
        <v>1487673125</v>
      </c>
      <c r="B183" t="str">
        <f>" GERALD EDWARDS"</f>
        <v xml:space="preserve"> GERALD EDWARDS</v>
      </c>
      <c r="C183" t="str">
        <f>"JOHN O`BRIEN"</f>
        <v>JOHN O`BRIEN</v>
      </c>
    </row>
    <row r="184" spans="1:3">
      <c r="A184" t="str">
        <f>"1356369060"</f>
        <v>1356369060</v>
      </c>
      <c r="B184" t="str">
        <f>" GERALD MCMAHON"</f>
        <v xml:space="preserve"> GERALD MCMAHON</v>
      </c>
      <c r="C184" t="s">
        <v>2</v>
      </c>
    </row>
    <row r="185" spans="1:3">
      <c r="A185" t="str">
        <f>"1730151507"</f>
        <v>1730151507</v>
      </c>
      <c r="B185" t="str">
        <f>" GIBRAN TALLIM"</f>
        <v xml:space="preserve"> GIBRAN TALLIM</v>
      </c>
      <c r="C185" t="str">
        <f>"ROME MEDICAL GROUP"</f>
        <v>ROME MEDICAL GROUP</v>
      </c>
    </row>
    <row r="186" spans="1:3">
      <c r="A186" t="str">
        <f>"1699769364"</f>
        <v>1699769364</v>
      </c>
      <c r="B186" t="str">
        <f>" GLENN THIBAULT"</f>
        <v xml:space="preserve"> GLENN THIBAULT</v>
      </c>
      <c r="C186" t="str">
        <f>"PULASKI HEALTH CENTER NOCHSI"</f>
        <v>PULASKI HEALTH CENTER NOCHSI</v>
      </c>
    </row>
    <row r="187" spans="1:3">
      <c r="A187" t="str">
        <f>"1417949819"</f>
        <v>1417949819</v>
      </c>
      <c r="B187" t="str">
        <f>" GUNNAR ANDERSON JR."</f>
        <v xml:space="preserve"> GUNNAR ANDERSON JR.</v>
      </c>
      <c r="C187" t="str">
        <f>"Slocum Dickson Medical Group"</f>
        <v>Slocum Dickson Medical Group</v>
      </c>
    </row>
    <row r="188" spans="1:3">
      <c r="A188" t="str">
        <f>"1902865488"</f>
        <v>1902865488</v>
      </c>
      <c r="B188" t="str">
        <f>" HANI ALKHOURI"</f>
        <v xml:space="preserve"> HANI ALKHOURI</v>
      </c>
      <c r="C188" t="str">
        <f>"St. Joseph Physicians"</f>
        <v>St. Joseph Physicians</v>
      </c>
    </row>
    <row r="189" spans="1:3">
      <c r="A189" t="str">
        <f>"1609933878"</f>
        <v>1609933878</v>
      </c>
      <c r="B189" t="str">
        <f>" HARIS AZIZ"</f>
        <v xml:space="preserve"> HARIS AZIZ</v>
      </c>
      <c r="C189" t="str">
        <f>"HARIS AZIZ"</f>
        <v>HARIS AZIZ</v>
      </c>
    </row>
    <row r="190" spans="1:3">
      <c r="A190" t="str">
        <f>"1124127097"</f>
        <v>1124127097</v>
      </c>
      <c r="B190" t="str">
        <f>" HEATHER FINGER"</f>
        <v xml:space="preserve"> HEATHER FINGER</v>
      </c>
      <c r="C190" t="str">
        <f>"PHYSICIAN CARE PC"</f>
        <v>PHYSICIAN CARE PC</v>
      </c>
    </row>
    <row r="191" spans="1:3">
      <c r="A191" t="str">
        <f>"1225327646"</f>
        <v>1225327646</v>
      </c>
      <c r="B191" t="str">
        <f>" HEATHER FINN"</f>
        <v xml:space="preserve"> HEATHER FINN</v>
      </c>
      <c r="C191" t="str">
        <f>"FAMILY MEDICINE MEDICAL SERVICE GROUP"</f>
        <v>FAMILY MEDICINE MEDICAL SERVICE GROUP</v>
      </c>
    </row>
    <row r="192" spans="1:3">
      <c r="A192" t="str">
        <f>"1093093478"</f>
        <v>1093093478</v>
      </c>
      <c r="B192" t="str">
        <f>" HEIDI DIMEIS"</f>
        <v xml:space="preserve"> HEIDI DIMEIS</v>
      </c>
      <c r="C192" t="str">
        <f>"DEPARTMENT OF MEDICINE MSG"</f>
        <v>DEPARTMENT OF MEDICINE MSG</v>
      </c>
    </row>
    <row r="193" spans="1:3">
      <c r="A193" t="str">
        <f>"1457355380"</f>
        <v>1457355380</v>
      </c>
      <c r="B193" t="str">
        <f>" HENRY CHIONUMA"</f>
        <v xml:space="preserve"> HENRY CHIONUMA</v>
      </c>
      <c r="C193" t="str">
        <f>"INDIRA KOSHY"</f>
        <v>INDIRA KOSHY</v>
      </c>
    </row>
    <row r="194" spans="1:3">
      <c r="A194" t="str">
        <f>"1134283104"</f>
        <v>1134283104</v>
      </c>
      <c r="B194" t="str">
        <f>" HENRY KLOTZ"</f>
        <v xml:space="preserve"> HENRY KLOTZ</v>
      </c>
      <c r="C194" t="str">
        <f>"QUEENS LONG ISLAND MEDICAL GROUP"</f>
        <v>QUEENS LONG ISLAND MEDICAL GROUP</v>
      </c>
    </row>
    <row r="195" spans="1:3">
      <c r="A195" t="str">
        <f>"1306821871"</f>
        <v>1306821871</v>
      </c>
      <c r="B195" t="s">
        <v>23</v>
      </c>
      <c r="C195" t="str">
        <f>"NEPHROLOGY HYPERTENSION ASSOCIATES OF CNY PC"</f>
        <v>NEPHROLOGY HYPERTENSION ASSOCIATES OF CNY PC</v>
      </c>
    </row>
    <row r="196" spans="1:3">
      <c r="A196" t="str">
        <f>"1861788929"</f>
        <v>1861788929</v>
      </c>
      <c r="B196" t="str">
        <f>" HOLLY FIKE"</f>
        <v xml:space="preserve"> HOLLY FIKE</v>
      </c>
      <c r="C196" t="str">
        <f>"ST JOSEPH'S MEDICAL PC"</f>
        <v>ST JOSEPH'S MEDICAL PC</v>
      </c>
    </row>
    <row r="197" spans="1:3">
      <c r="A197" t="str">
        <f>"1104039742"</f>
        <v>1104039742</v>
      </c>
      <c r="B197" t="str">
        <f>" HOOMAN RANJBARANJAHROMI"</f>
        <v xml:space="preserve"> HOOMAN RANJBARANJAHROMI</v>
      </c>
      <c r="C197" t="str">
        <f>"SJH CARDIAC CATHETERIZATION ASSOCIATES PC"</f>
        <v>SJH CARDIAC CATHETERIZATION ASSOCIATES PC</v>
      </c>
    </row>
    <row r="198" spans="1:3">
      <c r="A198" t="str">
        <f>"1770745176"</f>
        <v>1770745176</v>
      </c>
      <c r="B198" t="str">
        <f>" HOUSAM HEGAZY"</f>
        <v xml:space="preserve"> HOUSAM HEGAZY</v>
      </c>
      <c r="C198" t="s">
        <v>3</v>
      </c>
    </row>
    <row r="199" spans="1:3">
      <c r="A199" t="str">
        <f>"1952375297"</f>
        <v>1952375297</v>
      </c>
      <c r="B199" t="str">
        <f>" HOWARD MENY"</f>
        <v xml:space="preserve"> HOWARD MENY</v>
      </c>
      <c r="C199" t="str">
        <f>"Lewis County General Hospital"</f>
        <v>Lewis County General Hospital</v>
      </c>
    </row>
    <row r="200" spans="1:3">
      <c r="A200" t="str">
        <f>"1619967080"</f>
        <v>1619967080</v>
      </c>
      <c r="B200" t="str">
        <f>" HUGH FORBES"</f>
        <v xml:space="preserve"> HUGH FORBES</v>
      </c>
      <c r="C200" t="str">
        <f>"SYRACUSE COMMUNITY HEALTH CENTER"</f>
        <v>SYRACUSE COMMUNITY HEALTH CENTER</v>
      </c>
    </row>
    <row r="201" spans="1:3">
      <c r="A201" t="str">
        <f>"1003138058"</f>
        <v>1003138058</v>
      </c>
      <c r="B201" t="str">
        <f>" IJAZ RASHID"</f>
        <v xml:space="preserve"> IJAZ RASHID</v>
      </c>
      <c r="C201" t="s">
        <v>24</v>
      </c>
    </row>
    <row r="202" spans="1:3">
      <c r="A202" t="str">
        <f>"1760417992"</f>
        <v>1760417992</v>
      </c>
      <c r="B202" t="str">
        <f>" IMTIAZ SAMAD"</f>
        <v xml:space="preserve"> IMTIAZ SAMAD</v>
      </c>
      <c r="C202" t="str">
        <f>"ONEIDA HEALTH CARE CENTER"</f>
        <v>ONEIDA HEALTH CARE CENTER</v>
      </c>
    </row>
    <row r="203" spans="1:3">
      <c r="A203" t="str">
        <f>"1528476843"</f>
        <v>1528476843</v>
      </c>
      <c r="B203" t="str">
        <f>" INGRID MARTINEZ"</f>
        <v xml:space="preserve"> INGRID MARTINEZ</v>
      </c>
      <c r="C203" t="str">
        <f>"FAMILYCARE MEDICAL GROUP"</f>
        <v>FAMILYCARE MEDICAL GROUP</v>
      </c>
    </row>
    <row r="204" spans="1:3">
      <c r="A204" t="str">
        <f>"1720241664"</f>
        <v>1720241664</v>
      </c>
      <c r="B204" t="str">
        <f>" ISLAM HASSAN"</f>
        <v xml:space="preserve"> ISLAM HASSAN</v>
      </c>
      <c r="C204" t="str">
        <f>"DIGESTIVE DISEASE MEDICINE OF CNY LLP"</f>
        <v>DIGESTIVE DISEASE MEDICINE OF CNY LLP</v>
      </c>
    </row>
    <row r="205" spans="1:3">
      <c r="A205" t="str">
        <f>"1790063162"</f>
        <v>1790063162</v>
      </c>
      <c r="B205" t="str">
        <f>" J DEREK BREDERSON"</f>
        <v xml:space="preserve"> J DEREK BREDERSON</v>
      </c>
      <c r="C205" t="str">
        <f>"Finger Lakes Community Health "</f>
        <v xml:space="preserve">Finger Lakes Community Health </v>
      </c>
    </row>
    <row r="206" spans="1:3">
      <c r="A206" t="str">
        <f>"1407131253"</f>
        <v>1407131253</v>
      </c>
      <c r="B206" t="str">
        <f>" JACLYN SNYDER"</f>
        <v xml:space="preserve"> JACLYN SNYDER</v>
      </c>
      <c r="C206" t="str">
        <f>"FAMILY CARE MEDICAL GROUP"</f>
        <v>FAMILY CARE MEDICAL GROUP</v>
      </c>
    </row>
    <row r="207" spans="1:3">
      <c r="A207" t="str">
        <f>"1467603670"</f>
        <v>1467603670</v>
      </c>
      <c r="B207" t="str">
        <f>" JACOB VELLA"</f>
        <v xml:space="preserve"> JACOB VELLA</v>
      </c>
      <c r="C207" t="str">
        <f>"Syracuse Orthopedics Specialists"</f>
        <v>Syracuse Orthopedics Specialists</v>
      </c>
    </row>
    <row r="208" spans="1:3">
      <c r="A208" t="str">
        <f>"1063816825"</f>
        <v>1063816825</v>
      </c>
      <c r="B208" t="str">
        <f>" JACQUELINE HUGHES"</f>
        <v xml:space="preserve"> JACQUELINE HUGHES</v>
      </c>
      <c r="C208" t="str">
        <f>"Crouse Hospital"</f>
        <v>Crouse Hospital</v>
      </c>
    </row>
    <row r="209" spans="1:3">
      <c r="A209" t="str">
        <f>"1235202557"</f>
        <v>1235202557</v>
      </c>
      <c r="B209" t="str">
        <f>" JAMES CAMPBELL"</f>
        <v xml:space="preserve"> JAMES CAMPBELL</v>
      </c>
      <c r="C209" t="str">
        <f>"Trust Pediatrics"</f>
        <v>Trust Pediatrics</v>
      </c>
    </row>
    <row r="210" spans="1:3">
      <c r="A210" t="str">
        <f>"1285694687"</f>
        <v>1285694687</v>
      </c>
      <c r="B210" t="str">
        <f>" JAMES DISPENZA"</f>
        <v xml:space="preserve"> JAMES DISPENZA</v>
      </c>
      <c r="C210" t="str">
        <f>"CARDIOVASCULAR GROUP OF SYRACUSE"</f>
        <v>CARDIOVASCULAR GROUP OF SYRACUSE</v>
      </c>
    </row>
    <row r="211" spans="1:3">
      <c r="A211" t="str">
        <f>"1285694687"</f>
        <v>1285694687</v>
      </c>
      <c r="B211" t="str">
        <f>" JAMES DISPENZA"</f>
        <v xml:space="preserve"> JAMES DISPENZA</v>
      </c>
      <c r="C211" t="str">
        <f>"St. Joseph Physicians"</f>
        <v>St. Joseph Physicians</v>
      </c>
    </row>
    <row r="212" spans="1:3">
      <c r="A212" t="str">
        <f>"1457339756"</f>
        <v>1457339756</v>
      </c>
      <c r="B212" t="str">
        <f>" JAMES EDINGER"</f>
        <v xml:space="preserve"> JAMES EDINGER</v>
      </c>
      <c r="C212" t="str">
        <f>"FAMILYCARE MEDICAL GROUP"</f>
        <v>FAMILYCARE MEDICAL GROUP</v>
      </c>
    </row>
    <row r="213" spans="1:3">
      <c r="A213" t="str">
        <f>"1861588469"</f>
        <v>1861588469</v>
      </c>
      <c r="B213" t="str">
        <f>" JAMES FREDERICK"</f>
        <v xml:space="preserve"> JAMES FREDERICK</v>
      </c>
      <c r="C213" t="str">
        <f>"Community Health Behavioral Service"</f>
        <v>Community Health Behavioral Service</v>
      </c>
    </row>
    <row r="214" spans="1:3">
      <c r="A214" t="str">
        <f>"1275593600"</f>
        <v>1275593600</v>
      </c>
      <c r="B214" t="str">
        <f>" JAMES LODOLCE"</f>
        <v xml:space="preserve"> JAMES LODOLCE</v>
      </c>
      <c r="C214" t="str">
        <f>"ST JOSEPH'S MEDICAL PC"</f>
        <v>ST JOSEPH'S MEDICAL PC</v>
      </c>
    </row>
    <row r="215" spans="1:3">
      <c r="A215" t="str">
        <f>"1790006294"</f>
        <v>1790006294</v>
      </c>
      <c r="B215" t="str">
        <f>" JAMES LOOMIS"</f>
        <v xml:space="preserve"> JAMES LOOMIS</v>
      </c>
      <c r="C215" t="str">
        <f>"ST JOSEPHS MEDICAL PC"</f>
        <v>ST JOSEPHS MEDICAL PC</v>
      </c>
    </row>
    <row r="216" spans="1:3">
      <c r="A216" t="str">
        <f>"1972506269"</f>
        <v>1972506269</v>
      </c>
      <c r="B216" t="str">
        <f>" JAMES MILLS"</f>
        <v xml:space="preserve"> JAMES MILLS</v>
      </c>
      <c r="C216" t="str">
        <f>"Crouse Hospital"</f>
        <v>Crouse Hospital</v>
      </c>
    </row>
    <row r="217" spans="1:3">
      <c r="A217" t="str">
        <f>"1336225150"</f>
        <v>1336225150</v>
      </c>
      <c r="B217" t="str">
        <f>" JAMES PFEIFF"</f>
        <v xml:space="preserve"> JAMES PFEIFF</v>
      </c>
      <c r="C217" t="str">
        <f>"JAMES PFEIFF"</f>
        <v>JAMES PFEIFF</v>
      </c>
    </row>
    <row r="218" spans="1:3">
      <c r="A218" t="str">
        <f>"1205958014"</f>
        <v>1205958014</v>
      </c>
      <c r="B218" t="str">
        <f>" JAMES ROZANSKI"</f>
        <v xml:space="preserve"> JAMES ROZANSKI</v>
      </c>
      <c r="C218" t="str">
        <f>"FAXTON ST. LUKES DENTAL"</f>
        <v>FAXTON ST. LUKES DENTAL</v>
      </c>
    </row>
    <row r="219" spans="1:3">
      <c r="A219" t="str">
        <f>"1063412575"</f>
        <v>1063412575</v>
      </c>
      <c r="B219" t="str">
        <f>" JAMES TRAVER"</f>
        <v xml:space="preserve"> JAMES TRAVER</v>
      </c>
      <c r="C219" t="str">
        <f>"UNIVERSITY OB/GYN ASSOCIATES INC"</f>
        <v>UNIVERSITY OB/GYN ASSOCIATES INC</v>
      </c>
    </row>
    <row r="220" spans="1:3">
      <c r="A220" t="str">
        <f>"1922020197"</f>
        <v>1922020197</v>
      </c>
      <c r="B220" t="str">
        <f>" JAMES TUCKER"</f>
        <v xml:space="preserve"> JAMES TUCKER</v>
      </c>
      <c r="C220" t="str">
        <f>"JAMES TUCKER"</f>
        <v>JAMES TUCKER</v>
      </c>
    </row>
    <row r="221" spans="1:3">
      <c r="A221" t="str">
        <f>"1588625057"</f>
        <v>1588625057</v>
      </c>
      <c r="B221" t="str">
        <f>" JAMES VANDERHOOF"</f>
        <v xml:space="preserve"> JAMES VANDERHOOF</v>
      </c>
      <c r="C221" t="str">
        <f>"TRIVALLEY FAMILY PRACTICE PLLC"</f>
        <v>TRIVALLEY FAMILY PRACTICE PLLC</v>
      </c>
    </row>
    <row r="222" spans="1:3">
      <c r="A222" t="str">
        <f>"1912964867"</f>
        <v>1912964867</v>
      </c>
      <c r="B222" t="str">
        <f>" JAMES WALKER"</f>
        <v xml:space="preserve"> JAMES WALKER</v>
      </c>
      <c r="C222" t="str">
        <f>"GERALD LANDRY"</f>
        <v>GERALD LANDRY</v>
      </c>
    </row>
    <row r="223" spans="1:3">
      <c r="A223" t="str">
        <f>"1801229489"</f>
        <v>1801229489</v>
      </c>
      <c r="B223" t="str">
        <f>" JAMIE AURINO"</f>
        <v xml:space="preserve"> JAMIE AURINO</v>
      </c>
      <c r="C223" t="str">
        <f>"CROUSE HEALTH HOSPITAL"</f>
        <v>CROUSE HEALTH HOSPITAL</v>
      </c>
    </row>
    <row r="224" spans="1:3">
      <c r="A224" t="str">
        <f>"1083718712"</f>
        <v>1083718712</v>
      </c>
      <c r="B224" t="str">
        <f>" JANE SAMSON"</f>
        <v xml:space="preserve"> JANE SAMSON</v>
      </c>
      <c r="C224" t="str">
        <f>"SAMSON A PACHIKARA MD PC"</f>
        <v>SAMSON A PACHIKARA MD PC</v>
      </c>
    </row>
    <row r="225" spans="1:3">
      <c r="A225" t="str">
        <f>"1194848689"</f>
        <v>1194848689</v>
      </c>
      <c r="B225" t="str">
        <f>" JANE YORKE"</f>
        <v xml:space="preserve"> JANE YORKE</v>
      </c>
      <c r="C225" t="str">
        <f>"FAMILY PLANNING SERVICE"</f>
        <v>FAMILY PLANNING SERVICE</v>
      </c>
    </row>
    <row r="226" spans="1:3">
      <c r="A226" t="str">
        <f>"1609854918"</f>
        <v>1609854918</v>
      </c>
      <c r="B226" t="str">
        <f>" JANET JOHNSON"</f>
        <v xml:space="preserve"> JANET JOHNSON</v>
      </c>
      <c r="C226" t="s">
        <v>25</v>
      </c>
    </row>
    <row r="227" spans="1:3">
      <c r="A227" t="str">
        <f>"1952310005"</f>
        <v>1952310005</v>
      </c>
      <c r="B227" t="str">
        <f>" JANG CHI"</f>
        <v xml:space="preserve"> JANG CHI</v>
      </c>
      <c r="C227" t="str">
        <f>"SURGICAL SERVICES"</f>
        <v>SURGICAL SERVICES</v>
      </c>
    </row>
    <row r="228" spans="1:3">
      <c r="A228" t="str">
        <f>"1003063827"</f>
        <v>1003063827</v>
      </c>
      <c r="B228" t="str">
        <f>" JANICE M. AGEN"</f>
        <v xml:space="preserve"> JANICE M. AGEN</v>
      </c>
      <c r="C228" t="str">
        <f>"UNIVERSITY OB/GYN ASSOCIATES INC"</f>
        <v>UNIVERSITY OB/GYN ASSOCIATES INC</v>
      </c>
    </row>
    <row r="229" spans="1:3">
      <c r="A229" t="str">
        <f>"1568761047"</f>
        <v>1568761047</v>
      </c>
      <c r="B229" t="str">
        <f>" JANKI SHAH"</f>
        <v xml:space="preserve"> JANKI SHAH</v>
      </c>
      <c r="C229" t="str">
        <f>"MASSENA MEMORIAL HOSPITAL"</f>
        <v>MASSENA MEMORIAL HOSPITAL</v>
      </c>
    </row>
    <row r="230" spans="1:3">
      <c r="A230" t="str">
        <f>"1891025946"</f>
        <v>1891025946</v>
      </c>
      <c r="B230" t="str">
        <f>" JAQUELINE BARKLEY"</f>
        <v xml:space="preserve"> JAQUELINE BARKLEY</v>
      </c>
      <c r="C230" t="str">
        <f>"ST JOSEPH'S MEDICAL PC"</f>
        <v>ST JOSEPH'S MEDICAL PC</v>
      </c>
    </row>
    <row r="231" spans="1:3">
      <c r="A231" t="str">
        <f>"1700857299"</f>
        <v>1700857299</v>
      </c>
      <c r="B231" t="str">
        <f>" JASON LOK"</f>
        <v xml:space="preserve"> JASON LOK</v>
      </c>
      <c r="C231" t="str">
        <f>"NEW YORK SPINE &amp; WELLNESS"</f>
        <v>NEW YORK SPINE &amp; WELLNESS</v>
      </c>
    </row>
    <row r="232" spans="1:3">
      <c r="A232" t="str">
        <f>"1093718140"</f>
        <v>1093718140</v>
      </c>
      <c r="B232" t="str">
        <f>" JAWAD SHAIKH"</f>
        <v xml:space="preserve"> JAWAD SHAIKH</v>
      </c>
      <c r="C232" t="str">
        <f>"JAWAD SHAIKH"</f>
        <v>JAWAD SHAIKH</v>
      </c>
    </row>
    <row r="233" spans="1:3">
      <c r="A233" t="str">
        <f>"1861426413"</f>
        <v>1861426413</v>
      </c>
      <c r="B233" t="str">
        <f>" JAY SULLIVAN"</f>
        <v xml:space="preserve"> JAY SULLIVAN</v>
      </c>
      <c r="C233" t="str">
        <f>"JAY SULLIVAN"</f>
        <v>JAY SULLIVAN</v>
      </c>
    </row>
    <row r="234" spans="1:3">
      <c r="A234" t="str">
        <f>"1669451761"</f>
        <v>1669451761</v>
      </c>
      <c r="B234" t="str">
        <f>" JEAN KELLY"</f>
        <v xml:space="preserve"> JEAN KELLY</v>
      </c>
      <c r="C234" t="str">
        <f>"FAMILYCARE MEDICAL GROUP"</f>
        <v>FAMILYCARE MEDICAL GROUP</v>
      </c>
    </row>
    <row r="235" spans="1:3">
      <c r="A235" t="str">
        <f>"1528184116"</f>
        <v>1528184116</v>
      </c>
      <c r="B235" t="str">
        <f>" JEAN MILES"</f>
        <v xml:space="preserve"> JEAN MILES</v>
      </c>
      <c r="C235" t="s">
        <v>9</v>
      </c>
    </row>
    <row r="236" spans="1:3">
      <c r="A236" t="str">
        <f>"1962488601"</f>
        <v>1962488601</v>
      </c>
      <c r="B236" t="str">
        <f>" JEFFREY CARLBERG"</f>
        <v xml:space="preserve"> JEFFREY CARLBERG</v>
      </c>
      <c r="C236" t="str">
        <f>"MARYBETH CARLBERG"</f>
        <v>MARYBETH CARLBERG</v>
      </c>
    </row>
    <row r="237" spans="1:3">
      <c r="A237" t="str">
        <f>"1700865581"</f>
        <v>1700865581</v>
      </c>
      <c r="B237" t="str">
        <f>" JEFFREY HUGHES"</f>
        <v xml:space="preserve"> JEFFREY HUGHES</v>
      </c>
      <c r="C237" t="str">
        <f>"Family Care Medical Group"</f>
        <v>Family Care Medical Group</v>
      </c>
    </row>
    <row r="238" spans="1:3">
      <c r="A238" t="str">
        <f>"1326000431"</f>
        <v>1326000431</v>
      </c>
      <c r="B238" t="str">
        <f>" JEFFREY MULHOLLAND"</f>
        <v xml:space="preserve"> JEFFREY MULHOLLAND</v>
      </c>
      <c r="C238" t="str">
        <f>"TRIVALLEY FAMILY PRACTICE"</f>
        <v>TRIVALLEY FAMILY PRACTICE</v>
      </c>
    </row>
    <row r="239" spans="1:3">
      <c r="A239" t="str">
        <f>"1265784680"</f>
        <v>1265784680</v>
      </c>
      <c r="B239" t="str">
        <f>" JEFFREY SATTORA"</f>
        <v xml:space="preserve"> JEFFREY SATTORA</v>
      </c>
      <c r="C239" t="s">
        <v>26</v>
      </c>
    </row>
    <row r="240" spans="1:3">
      <c r="A240" t="str">
        <f>"1659322154"</f>
        <v>1659322154</v>
      </c>
      <c r="B240" t="str">
        <f>" JEFFREY WIKE"</f>
        <v xml:space="preserve"> JEFFREY WIKE</v>
      </c>
      <c r="C240" t="str">
        <f>"Family Care Medical Group"</f>
        <v>Family Care Medical Group</v>
      </c>
    </row>
    <row r="241" spans="1:3">
      <c r="A241" t="str">
        <f>"1386604858"</f>
        <v>1386604858</v>
      </c>
      <c r="B241" t="str">
        <f>" JENNIE BROWN"</f>
        <v xml:space="preserve"> JENNIE BROWN</v>
      </c>
      <c r="C241" t="str">
        <f>"St. Joseph Physicians"</f>
        <v>St. Joseph Physicians</v>
      </c>
    </row>
    <row r="242" spans="1:3">
      <c r="A242" t="str">
        <f>"1578967071"</f>
        <v>1578967071</v>
      </c>
      <c r="B242" t="str">
        <f>" JENNIFER D'ONOFRIO"</f>
        <v xml:space="preserve"> JENNIFER D'ONOFRIO</v>
      </c>
      <c r="C242" t="str">
        <f>"FAXTON ST LUKES HEALTHCARE"</f>
        <v>FAXTON ST LUKES HEALTHCARE</v>
      </c>
    </row>
    <row r="243" spans="1:3">
      <c r="A243" t="str">
        <f>"1033526876"</f>
        <v>1033526876</v>
      </c>
      <c r="B243" t="str">
        <f>" JENNIFER DRAKE"</f>
        <v xml:space="preserve"> JENNIFER DRAKE</v>
      </c>
      <c r="C243" t="str">
        <f>"PHYSICIAN CARE PC"</f>
        <v>PHYSICIAN CARE PC</v>
      </c>
    </row>
    <row r="244" spans="1:3">
      <c r="A244" t="str">
        <f>"1023304615"</f>
        <v>1023304615</v>
      </c>
      <c r="B244" t="str">
        <f>" JENNIFER FIELDS"</f>
        <v xml:space="preserve"> JENNIFER FIELDS</v>
      </c>
      <c r="C244" t="str">
        <f>"JENNIFER FIELDS"</f>
        <v>JENNIFER FIELDS</v>
      </c>
    </row>
    <row r="245" spans="1:3">
      <c r="A245" t="str">
        <f>"1548417819"</f>
        <v>1548417819</v>
      </c>
      <c r="B245" t="str">
        <f>" JENNIFER NICHOLS"</f>
        <v xml:space="preserve"> JENNIFER NICHOLS</v>
      </c>
      <c r="C245" t="str">
        <f>"ENDOCRINE ASSOCIATES OF OSWEGO"</f>
        <v>ENDOCRINE ASSOCIATES OF OSWEGO</v>
      </c>
    </row>
    <row r="246" spans="1:3">
      <c r="A246" t="str">
        <f>"1952670069"</f>
        <v>1952670069</v>
      </c>
      <c r="B246" t="str">
        <f>" JENNIFER QUINN"</f>
        <v xml:space="preserve"> JENNIFER QUINN</v>
      </c>
      <c r="C246" t="str">
        <f>"ONEIDA MEDICAL ASSOCIATES"</f>
        <v>ONEIDA MEDICAL ASSOCIATES</v>
      </c>
    </row>
    <row r="247" spans="1:3">
      <c r="A247" t="str">
        <f>"1639504897"</f>
        <v>1639504897</v>
      </c>
      <c r="B247" t="str">
        <f>" JENNIFER SCHRADER"</f>
        <v xml:space="preserve"> JENNIFER SCHRADER</v>
      </c>
      <c r="C247" t="str">
        <f>"Sister Rose Vincent Family Medicine Center"</f>
        <v>Sister Rose Vincent Family Medicine Center</v>
      </c>
    </row>
    <row r="248" spans="1:3">
      <c r="A248" t="str">
        <f>"1780973057"</f>
        <v>1780973057</v>
      </c>
      <c r="B248" t="str">
        <f>" JENNIFER YEUNG"</f>
        <v xml:space="preserve"> JENNIFER YEUNG</v>
      </c>
      <c r="C248" t="str">
        <f>"Lutheran Medical Center"</f>
        <v>Lutheran Medical Center</v>
      </c>
    </row>
    <row r="249" spans="1:3">
      <c r="A249" t="str">
        <f>"1578554051"</f>
        <v>1578554051</v>
      </c>
      <c r="B249" t="str">
        <f>" JERRY SLOAN"</f>
        <v xml:space="preserve"> JERRY SLOAN</v>
      </c>
      <c r="C249" t="str">
        <f>"Slocum-Dickson Medical Group"</f>
        <v>Slocum-Dickson Medical Group</v>
      </c>
    </row>
    <row r="250" spans="1:3">
      <c r="A250" t="str">
        <f>"1295986131"</f>
        <v>1295986131</v>
      </c>
      <c r="B250" t="str">
        <f>" JESSICA MILLER"</f>
        <v xml:space="preserve"> JESSICA MILLER</v>
      </c>
      <c r="C250" t="str">
        <f>"BASSETT HEALTHCARE"</f>
        <v>BASSETT HEALTHCARE</v>
      </c>
    </row>
    <row r="251" spans="1:3">
      <c r="A251" t="str">
        <f>"1861701732"</f>
        <v>1861701732</v>
      </c>
      <c r="B251" t="str">
        <f>" JESSICA MURPHY"</f>
        <v xml:space="preserve"> JESSICA MURPHY</v>
      </c>
      <c r="C251" t="str">
        <f>"FAXTON ST LUKES HEALTHCARE"</f>
        <v>FAXTON ST LUKES HEALTHCARE</v>
      </c>
    </row>
    <row r="252" spans="1:3">
      <c r="A252" t="str">
        <f>"1538159660"</f>
        <v>1538159660</v>
      </c>
      <c r="B252" t="str">
        <f>" JILL MACDONALD"</f>
        <v xml:space="preserve"> JILL MACDONALD</v>
      </c>
      <c r="C252" t="str">
        <f>"Sister Rose Vincent Family Medicine Center"</f>
        <v>Sister Rose Vincent Family Medicine Center</v>
      </c>
    </row>
    <row r="253" spans="1:3">
      <c r="A253" t="str">
        <f>"1629074232"</f>
        <v>1629074232</v>
      </c>
      <c r="B253" t="str">
        <f>" JILL PETERSON"</f>
        <v xml:space="preserve"> JILL PETERSON</v>
      </c>
      <c r="C253" t="str">
        <f>"OSWEGO HEALTH URGENT CARE CTR"</f>
        <v>OSWEGO HEALTH URGENT CARE CTR</v>
      </c>
    </row>
    <row r="254" spans="1:3">
      <c r="A254" t="str">
        <f>"1487829503"</f>
        <v>1487829503</v>
      </c>
      <c r="B254" t="str">
        <f>" JOAN NEWELL"</f>
        <v xml:space="preserve"> JOAN NEWELL</v>
      </c>
      <c r="C254" t="str">
        <f>"PORT CITY FAMILY MEDICINE"</f>
        <v>PORT CITY FAMILY MEDICINE</v>
      </c>
    </row>
    <row r="255" spans="1:3">
      <c r="A255" t="str">
        <f>"1649242744"</f>
        <v>1649242744</v>
      </c>
      <c r="B255" t="str">
        <f>" JOCELYN BEANE"</f>
        <v xml:space="preserve"> JOCELYN BEANE</v>
      </c>
      <c r="C255" t="str">
        <f>"Family Medicine of Carthage"</f>
        <v>Family Medicine of Carthage</v>
      </c>
    </row>
    <row r="256" spans="1:3">
      <c r="A256" t="str">
        <f>"1376578419"</f>
        <v>1376578419</v>
      </c>
      <c r="B256" t="str">
        <f>" JOHN CARTHY"</f>
        <v xml:space="preserve"> JOHN CARTHY</v>
      </c>
      <c r="C256" t="str">
        <f>"CLIFTON FINE HOSPITAL"</f>
        <v>CLIFTON FINE HOSPITAL</v>
      </c>
    </row>
    <row r="257" spans="1:3">
      <c r="A257" t="str">
        <f>"1962489716"</f>
        <v>1962489716</v>
      </c>
      <c r="B257" t="str">
        <f>" JOHN CHARLES"</f>
        <v xml:space="preserve"> JOHN CHARLES</v>
      </c>
      <c r="C257" t="str">
        <f>"Family Care Medical Group"</f>
        <v>Family Care Medical Group</v>
      </c>
    </row>
    <row r="258" spans="1:3">
      <c r="A258" t="str">
        <f>"1982622429"</f>
        <v>1982622429</v>
      </c>
      <c r="B258" t="str">
        <f>" JOHN EPLING JR"</f>
        <v xml:space="preserve"> JOHN EPLING JR</v>
      </c>
      <c r="C258" t="str">
        <f>"Department of Family Medicine"</f>
        <v>Department of Family Medicine</v>
      </c>
    </row>
    <row r="259" spans="1:3">
      <c r="A259" t="str">
        <f>"1013123579"</f>
        <v>1013123579</v>
      </c>
      <c r="B259" t="str">
        <f>" JOHN O`BRIEN"</f>
        <v xml:space="preserve"> JOHN O`BRIEN</v>
      </c>
      <c r="C259" t="str">
        <f>"JOHN O`BRIEN"</f>
        <v>JOHN O`BRIEN</v>
      </c>
    </row>
    <row r="260" spans="1:3">
      <c r="A260" t="str">
        <f>"1184651770"</f>
        <v>1184651770</v>
      </c>
      <c r="B260" t="str">
        <f>" JOHN ROBERTSON"</f>
        <v xml:space="preserve"> JOHN ROBERTSON</v>
      </c>
      <c r="C260" t="str">
        <f>"FAXTON ST LUKES HEALTHCARE"</f>
        <v>FAXTON ST LUKES HEALTHCARE</v>
      </c>
    </row>
    <row r="261" spans="1:3">
      <c r="A261" t="str">
        <f>"1356320600"</f>
        <v>1356320600</v>
      </c>
      <c r="B261" t="str">
        <f>" JOLENE COOK"</f>
        <v xml:space="preserve"> JOLENE COOK</v>
      </c>
      <c r="C261" t="s">
        <v>3</v>
      </c>
    </row>
    <row r="262" spans="1:3">
      <c r="A262" t="str">
        <f>"1023368818"</f>
        <v>1023368818</v>
      </c>
      <c r="B262" t="str">
        <f>" JONATHAN CONLON"</f>
        <v xml:space="preserve"> JONATHAN CONLON</v>
      </c>
      <c r="C262" t="str">
        <f>"CROUSE HEALTH HOSPITAL"</f>
        <v>CROUSE HEALTH HOSPITAL</v>
      </c>
    </row>
    <row r="263" spans="1:3">
      <c r="A263" t="str">
        <f>"1902892714"</f>
        <v>1902892714</v>
      </c>
      <c r="B263" t="str">
        <f>" JORGE MARTINEZ"</f>
        <v xml:space="preserve"> JORGE MARTINEZ</v>
      </c>
      <c r="C263" t="str">
        <f>"SJH CARDIAC CATHETERIZATION ASSOCIATES PC"</f>
        <v>SJH CARDIAC CATHETERIZATION ASSOCIATES PC</v>
      </c>
    </row>
    <row r="264" spans="1:3">
      <c r="A264" t="str">
        <f>"1679501811"</f>
        <v>1679501811</v>
      </c>
      <c r="B264" t="str">
        <f>" JOSEPH BLOOD III"</f>
        <v xml:space="preserve"> JOSEPH BLOOD III</v>
      </c>
      <c r="C264" t="str">
        <f>"Elderwood at Waverly"</f>
        <v>Elderwood at Waverly</v>
      </c>
    </row>
    <row r="265" spans="1:3">
      <c r="A265" t="str">
        <f>"1336174457"</f>
        <v>1336174457</v>
      </c>
      <c r="B265" t="str">
        <f>" JOSEPH LORENZETTI"</f>
        <v xml:space="preserve"> JOSEPH LORENZETTI</v>
      </c>
      <c r="C265" t="s">
        <v>27</v>
      </c>
    </row>
    <row r="266" spans="1:3">
      <c r="A266" t="str">
        <f>"1194786277"</f>
        <v>1194786277</v>
      </c>
      <c r="B266" t="str">
        <f>" JOSEPH MEROLA"</f>
        <v xml:space="preserve"> JOSEPH MEROLA</v>
      </c>
      <c r="C266" t="str">
        <f>"ST JOSEPH'S MEDICAL PC"</f>
        <v>ST JOSEPH'S MEDICAL PC</v>
      </c>
    </row>
    <row r="267" spans="1:3">
      <c r="A267" t="str">
        <f>"1598038507"</f>
        <v>1598038507</v>
      </c>
      <c r="B267" t="str">
        <f>" JOSEPH MORABITO"</f>
        <v xml:space="preserve"> JOSEPH MORABITO</v>
      </c>
      <c r="C267" t="str">
        <f>"St. Joseph's Medical PC"</f>
        <v>St. Joseph's Medical PC</v>
      </c>
    </row>
    <row r="268" spans="1:3">
      <c r="A268" t="str">
        <f>"1679521132"</f>
        <v>1679521132</v>
      </c>
      <c r="B268" t="str">
        <f>" JOSEPH WETTERHAHN"</f>
        <v xml:space="preserve"> JOSEPH WETTERHAHN</v>
      </c>
      <c r="C268" t="str">
        <f>"Adams Family Health Center"</f>
        <v>Adams Family Health Center</v>
      </c>
    </row>
    <row r="269" spans="1:3">
      <c r="A269" t="str">
        <f>"1942382528"</f>
        <v>1942382528</v>
      </c>
      <c r="B269" t="str">
        <f>" JOSHU COPPOLA"</f>
        <v xml:space="preserve"> JOSHU COPPOLA</v>
      </c>
      <c r="C269" t="str">
        <f>"ST JOSEPH'S MEDICAL PC"</f>
        <v>ST JOSEPH'S MEDICAL PC</v>
      </c>
    </row>
    <row r="270" spans="1:3">
      <c r="A270" t="str">
        <f>"1467569319"</f>
        <v>1467569319</v>
      </c>
      <c r="B270" t="str">
        <f>" JOY ELLEN DOLORICO-MAGSINO"</f>
        <v xml:space="preserve"> JOY ELLEN DOLORICO-MAGSINO</v>
      </c>
      <c r="C270" t="str">
        <f>"OSWEGO HEALTH CENTER"</f>
        <v>OSWEGO HEALTH CENTER</v>
      </c>
    </row>
    <row r="271" spans="1:3">
      <c r="A271" t="str">
        <f>"1184767972"</f>
        <v>1184767972</v>
      </c>
      <c r="B271" t="str">
        <f>" JOYCE LINNENBACH"</f>
        <v xml:space="preserve"> JOYCE LINNENBACH</v>
      </c>
      <c r="C271" t="str">
        <f>"ST JOSEPHS HOSPITAL HEALTH CENTER"</f>
        <v>ST JOSEPHS HOSPITAL HEALTH CENTER</v>
      </c>
    </row>
    <row r="272" spans="1:3">
      <c r="A272" t="str">
        <f>"1649393968"</f>
        <v>1649393968</v>
      </c>
      <c r="B272" t="str">
        <f>" JUDITH DOWLING"</f>
        <v xml:space="preserve"> JUDITH DOWLING</v>
      </c>
      <c r="C272" t="str">
        <f>"JUDITH DOWLING"</f>
        <v>JUDITH DOWLING</v>
      </c>
    </row>
    <row r="273" spans="1:3">
      <c r="A273" t="str">
        <f>"1275707275"</f>
        <v>1275707275</v>
      </c>
      <c r="B273" t="str">
        <f>" JUDY WEINSTOCK"</f>
        <v xml:space="preserve"> JUDY WEINSTOCK</v>
      </c>
      <c r="C273" t="str">
        <f>"Bassett Medical Center "</f>
        <v xml:space="preserve">Bassett Medical Center </v>
      </c>
    </row>
    <row r="274" spans="1:3">
      <c r="A274" t="str">
        <f>"1881655215"</f>
        <v>1881655215</v>
      </c>
      <c r="B274" t="str">
        <f>" JULIE COLVIN"</f>
        <v xml:space="preserve"> JULIE COLVIN</v>
      </c>
      <c r="C274" t="str">
        <f>"ST JOSEPH'S MEDICAL PC"</f>
        <v>ST JOSEPH'S MEDICAL PC</v>
      </c>
    </row>
    <row r="275" spans="1:3">
      <c r="A275" t="str">
        <f>"1073740122"</f>
        <v>1073740122</v>
      </c>
      <c r="B275" t="str">
        <f>" JULIE P. KING"</f>
        <v xml:space="preserve"> JULIE P. KING</v>
      </c>
      <c r="C275" t="s">
        <v>2</v>
      </c>
    </row>
    <row r="276" spans="1:3">
      <c r="A276" t="str">
        <f>"1013906569"</f>
        <v>1013906569</v>
      </c>
      <c r="B276" t="str">
        <f>" JULIE SHKANE"</f>
        <v xml:space="preserve"> JULIE SHKANE</v>
      </c>
      <c r="C276" t="str">
        <f>"Sister Rose Vincent Family Medicine Center"</f>
        <v>Sister Rose Vincent Family Medicine Center</v>
      </c>
    </row>
    <row r="277" spans="1:3">
      <c r="A277" t="str">
        <f>"1902115785"</f>
        <v>1902115785</v>
      </c>
      <c r="B277" t="str">
        <f>" KAELYN ROWLEY"</f>
        <v xml:space="preserve"> KAELYN ROWLEY</v>
      </c>
      <c r="C277" t="str">
        <f>"Crouse Hospital"</f>
        <v>Crouse Hospital</v>
      </c>
    </row>
    <row r="278" spans="1:3">
      <c r="A278" t="str">
        <f>"1811291362"</f>
        <v>1811291362</v>
      </c>
      <c r="B278" t="str">
        <f>" KARI MOORHEAD"</f>
        <v xml:space="preserve"> KARI MOORHEAD</v>
      </c>
      <c r="C278" t="str">
        <f>"MARY IMOGENE BASSETT HOSPITAL"</f>
        <v>MARY IMOGENE BASSETT HOSPITAL</v>
      </c>
    </row>
    <row r="279" spans="1:3">
      <c r="A279" t="str">
        <f>"1407264625"</f>
        <v>1407264625</v>
      </c>
      <c r="B279" t="str">
        <f>" KATHERINE RICHEY"</f>
        <v xml:space="preserve"> KATHERINE RICHEY</v>
      </c>
      <c r="C279" t="str">
        <f>"CLAXTON MEDICAL PC"</f>
        <v>CLAXTON MEDICAL PC</v>
      </c>
    </row>
    <row r="280" spans="1:3">
      <c r="A280" t="str">
        <f>"1346484128"</f>
        <v>1346484128</v>
      </c>
      <c r="B280" t="str">
        <f>" KATHERINE WALIA"</f>
        <v xml:space="preserve"> KATHERINE WALIA</v>
      </c>
      <c r="C280" t="str">
        <f>"UPSATE MEDICAL UNIVERSITY"</f>
        <v>UPSATE MEDICAL UNIVERSITY</v>
      </c>
    </row>
    <row r="281" spans="1:3">
      <c r="A281" t="str">
        <f>"1710969589"</f>
        <v>1710969589</v>
      </c>
      <c r="B281" t="str">
        <f>" KATHLEEN DERMADY"</f>
        <v xml:space="preserve"> KATHLEEN DERMADY</v>
      </c>
      <c r="C281" t="str">
        <f>"KATHLEEN DERMADY"</f>
        <v>KATHLEEN DERMADY</v>
      </c>
    </row>
    <row r="282" spans="1:3">
      <c r="A282" t="str">
        <f>"1689646549"</f>
        <v>1689646549</v>
      </c>
      <c r="B282" t="str">
        <f>" KATHLEEN GARBOOSHIAN"</f>
        <v xml:space="preserve"> KATHLEEN GARBOOSHIAN</v>
      </c>
      <c r="C282" t="str">
        <f>"ROME MEDICAL GROUP"</f>
        <v>ROME MEDICAL GROUP</v>
      </c>
    </row>
    <row r="283" spans="1:3">
      <c r="A283" t="str">
        <f>"1376898197"</f>
        <v>1376898197</v>
      </c>
      <c r="B283" t="str">
        <f>" KATHLEEN MCDONNELL"</f>
        <v xml:space="preserve"> KATHLEEN MCDONNELL</v>
      </c>
      <c r="C283" t="str">
        <f>"FAMILYCARE MEDICAL GROUP"</f>
        <v>FAMILYCARE MEDICAL GROUP</v>
      </c>
    </row>
    <row r="284" spans="1:3">
      <c r="A284" t="str">
        <f>"1548250368"</f>
        <v>1548250368</v>
      </c>
      <c r="B284" t="str">
        <f>" KATHY LEACH"</f>
        <v xml:space="preserve"> KATHY LEACH</v>
      </c>
      <c r="C284" t="str">
        <f>"Sister Rose Vincent Family Medicine Center"</f>
        <v>Sister Rose Vincent Family Medicine Center</v>
      </c>
    </row>
    <row r="285" spans="1:3">
      <c r="A285" t="str">
        <f>"1598788382"</f>
        <v>1598788382</v>
      </c>
      <c r="B285" t="str">
        <f>" KAUSHAL NANAVATI"</f>
        <v xml:space="preserve"> KAUSHAL NANAVATI</v>
      </c>
      <c r="C285" t="str">
        <f>"FAMILY MEDICINE MEDICAL SERVICE GROUP"</f>
        <v>FAMILY MEDICINE MEDICAL SERVICE GROUP</v>
      </c>
    </row>
    <row r="286" spans="1:3">
      <c r="A286" t="str">
        <f>"1770804288"</f>
        <v>1770804288</v>
      </c>
      <c r="B286" t="str">
        <f>" KEITH MARSHALL"</f>
        <v xml:space="preserve"> KEITH MARSHALL</v>
      </c>
      <c r="C286" t="str">
        <f>"KRISTINA M. TERVO"</f>
        <v>KRISTINA M. TERVO</v>
      </c>
    </row>
    <row r="287" spans="1:3">
      <c r="A287" t="str">
        <f>"1477514263"</f>
        <v>1477514263</v>
      </c>
      <c r="B287" t="str">
        <f>" KEITH MURRAY"</f>
        <v xml:space="preserve"> KEITH MURRAY</v>
      </c>
      <c r="C287" t="str">
        <f>"ST. JOSEPH`S PHYSICIAN"</f>
        <v>ST. JOSEPH`S PHYSICIAN</v>
      </c>
    </row>
    <row r="288" spans="1:3">
      <c r="A288" t="str">
        <f>"1457506693"</f>
        <v>1457506693</v>
      </c>
      <c r="B288" t="str">
        <f>" KELLY WEAVER"</f>
        <v xml:space="preserve"> KELLY WEAVER</v>
      </c>
      <c r="C288" t="str">
        <f>"CANASTOTA-LENOX HEALTH CENTER"</f>
        <v>CANASTOTA-LENOX HEALTH CENTER</v>
      </c>
    </row>
    <row r="289" spans="1:3">
      <c r="A289" t="str">
        <f>"1558362640"</f>
        <v>1558362640</v>
      </c>
      <c r="B289" t="str">
        <f>" KENNETH WERNER"</f>
        <v xml:space="preserve"> KENNETH WERNER</v>
      </c>
      <c r="C289" t="str">
        <f>"Sister Rose Vincent Family Medicine Center"</f>
        <v>Sister Rose Vincent Family Medicine Center</v>
      </c>
    </row>
    <row r="290" spans="1:3">
      <c r="A290" t="str">
        <f>"1316175052"</f>
        <v>1316175052</v>
      </c>
      <c r="B290" t="str">
        <f>" KEVIN LEROY"</f>
        <v xml:space="preserve"> KEVIN LEROY</v>
      </c>
      <c r="C290" t="str">
        <f>"PHYSICIAN CARE PC"</f>
        <v>PHYSICIAN CARE PC</v>
      </c>
    </row>
    <row r="291" spans="1:3">
      <c r="A291" t="str">
        <f>"1114917234"</f>
        <v>1114917234</v>
      </c>
      <c r="B291" t="str">
        <f>" KEVIN MCCORMICK"</f>
        <v xml:space="preserve"> KEVIN MCCORMICK</v>
      </c>
      <c r="C291" t="str">
        <f>"ST ELIZABETH MEDICAL CENTER"</f>
        <v>ST ELIZABETH MEDICAL CENTER</v>
      </c>
    </row>
    <row r="292" spans="1:3">
      <c r="A292" t="str">
        <f>"1255371712"</f>
        <v>1255371712</v>
      </c>
      <c r="B292" t="str">
        <f>" KHALID SINDHU"</f>
        <v xml:space="preserve"> KHALID SINDHU</v>
      </c>
      <c r="C292" t="str">
        <f>"Nephrology Associates of Watertown"</f>
        <v>Nephrology Associates of Watertown</v>
      </c>
    </row>
    <row r="293" spans="1:3">
      <c r="A293" t="str">
        <f>"1568495323"</f>
        <v>1568495323</v>
      </c>
      <c r="B293" t="str">
        <f>" KHATUNA STEPKOVITCH"</f>
        <v xml:space="preserve"> KHATUNA STEPKOVITCH</v>
      </c>
      <c r="C293" t="str">
        <f>"Advanced ENT Phys/Sgns PC"</f>
        <v>Advanced ENT Phys/Sgns PC</v>
      </c>
    </row>
    <row r="294" spans="1:3">
      <c r="A294" t="str">
        <f>"1457612467"</f>
        <v>1457612467</v>
      </c>
      <c r="B294" t="str">
        <f>" KIERSTEN INGALLS"</f>
        <v xml:space="preserve"> KIERSTEN INGALLS</v>
      </c>
      <c r="C294" t="str">
        <f>"PEGASUS MEDICINE GROUP EMPIRE STATE"</f>
        <v>PEGASUS MEDICINE GROUP EMPIRE STATE</v>
      </c>
    </row>
    <row r="295" spans="1:3">
      <c r="A295" t="str">
        <f>"1316900582"</f>
        <v>1316900582</v>
      </c>
      <c r="B295" t="str">
        <f>" KRISTEN GRAVES-MONTAS"</f>
        <v xml:space="preserve"> KRISTEN GRAVES-MONTAS</v>
      </c>
      <c r="C295" t="str">
        <f>"SYRACUSE COMMUNITY HEALTH CENTER"</f>
        <v>SYRACUSE COMMUNITY HEALTH CENTER</v>
      </c>
    </row>
    <row r="296" spans="1:3">
      <c r="A296" t="str">
        <f>"1104259050"</f>
        <v>1104259050</v>
      </c>
      <c r="B296" t="str">
        <f>" KRISTEN MANGANIELLO"</f>
        <v xml:space="preserve"> KRISTEN MANGANIELLO</v>
      </c>
      <c r="C296" t="str">
        <f>"PEDIATRIC SERVICE GROUP"</f>
        <v>PEDIATRIC SERVICE GROUP</v>
      </c>
    </row>
    <row r="297" spans="1:3">
      <c r="A297" t="str">
        <f>"1396959987"</f>
        <v>1396959987</v>
      </c>
      <c r="B297" t="str">
        <f>" KRISTEN MCNAMARA"</f>
        <v xml:space="preserve"> KRISTEN MCNAMARA</v>
      </c>
      <c r="C297" t="str">
        <f>"ST JOSEPH'S MEDICAL PC"</f>
        <v>ST JOSEPH'S MEDICAL PC</v>
      </c>
    </row>
    <row r="298" spans="1:3">
      <c r="A298" t="str">
        <f>"1659321024"</f>
        <v>1659321024</v>
      </c>
      <c r="B298" t="str">
        <f>" KRISTINA TERVO"</f>
        <v xml:space="preserve"> KRISTINA TERVO</v>
      </c>
      <c r="C298" t="str">
        <f>"ONEIDA HEALTH CARE CENTER"</f>
        <v>ONEIDA HEALTH CARE CENTER</v>
      </c>
    </row>
    <row r="299" spans="1:3">
      <c r="A299" t="str">
        <f>"1245489970"</f>
        <v>1245489970</v>
      </c>
      <c r="B299" t="str">
        <f>" KRISTY VENTURA"</f>
        <v xml:space="preserve"> KRISTY VENTURA</v>
      </c>
      <c r="C299" t="str">
        <f>"INTERNAL MEDICINE ASSOCIATES OF AUBURN"</f>
        <v>INTERNAL MEDICINE ASSOCIATES OF AUBURN</v>
      </c>
    </row>
    <row r="300" spans="1:3">
      <c r="A300" t="str">
        <f>"1982653457"</f>
        <v>1982653457</v>
      </c>
      <c r="B300" t="str">
        <f>" KWAKU AMANKWAH"</f>
        <v xml:space="preserve"> KWAKU AMANKWAH</v>
      </c>
      <c r="C300" t="str">
        <f>"KWAKU AMANKWAH"</f>
        <v>KWAKU AMANKWAH</v>
      </c>
    </row>
    <row r="301" spans="1:3">
      <c r="A301" t="str">
        <f>"1346358082"</f>
        <v>1346358082</v>
      </c>
      <c r="B301" t="str">
        <f>" KYLIE LACEY"</f>
        <v xml:space="preserve"> KYLIE LACEY</v>
      </c>
      <c r="C301" t="str">
        <f>"OSWEGO HEALTH CENTER"</f>
        <v>OSWEGO HEALTH CENTER</v>
      </c>
    </row>
    <row r="302" spans="1:3">
      <c r="A302" t="str">
        <f>"1912245200"</f>
        <v>1912245200</v>
      </c>
      <c r="B302" t="str">
        <f>" LAINA STUPP"</f>
        <v xml:space="preserve"> LAINA STUPP</v>
      </c>
      <c r="C302" t="str">
        <f>"ST JOSEPHS HOSPITAL HEALTH CENTER"</f>
        <v>ST JOSEPHS HOSPITAL HEALTH CENTER</v>
      </c>
    </row>
    <row r="303" spans="1:3">
      <c r="A303" t="str">
        <f>"1417946963"</f>
        <v>1417946963</v>
      </c>
      <c r="B303" t="str">
        <f>" LANCE BROWNSTEIN"</f>
        <v xml:space="preserve"> LANCE BROWNSTEIN</v>
      </c>
      <c r="C303" t="str">
        <f>"FAXTON ST LUKES HEALTHCARE"</f>
        <v>FAXTON ST LUKES HEALTHCARE</v>
      </c>
    </row>
    <row r="304" spans="1:3">
      <c r="A304" t="str">
        <f>"1932182136"</f>
        <v>1932182136</v>
      </c>
      <c r="B304" t="str">
        <f>" LARRY MARTINSON"</f>
        <v xml:space="preserve"> LARRY MARTINSON</v>
      </c>
      <c r="C304" t="str">
        <f>"MVN MEDICAL ARTS CENTER/HERKIMER SATELITE"</f>
        <v>MVN MEDICAL ARTS CENTER/HERKIMER SATELITE</v>
      </c>
    </row>
    <row r="305" spans="1:3">
      <c r="A305" t="str">
        <f>"1598963134"</f>
        <v>1598963134</v>
      </c>
      <c r="B305" t="str">
        <f>" LATRICE BELFON-KORNYOH"</f>
        <v xml:space="preserve"> LATRICE BELFON-KORNYOH</v>
      </c>
      <c r="C305" t="str">
        <f>"SYRACUSE COMMUNITY HEALTH CENTER"</f>
        <v>SYRACUSE COMMUNITY HEALTH CENTER</v>
      </c>
    </row>
    <row r="306" spans="1:3">
      <c r="A306" t="str">
        <f>"1205928538"</f>
        <v>1205928538</v>
      </c>
      <c r="B306" t="str">
        <f>" LAURA HAMILTON"</f>
        <v xml:space="preserve"> LAURA HAMILTON</v>
      </c>
      <c r="C306" t="str">
        <f>"Upstate University Hospital @ Community"</f>
        <v>Upstate University Hospital @ Community</v>
      </c>
    </row>
    <row r="307" spans="1:3">
      <c r="A307" t="str">
        <f>"1558322339"</f>
        <v>1558322339</v>
      </c>
      <c r="B307" t="str">
        <f>" LAURA MARTIN"</f>
        <v xml:space="preserve"> LAURA MARTIN</v>
      </c>
      <c r="C307" t="str">
        <f>"LAURA MARTIN"</f>
        <v>LAURA MARTIN</v>
      </c>
    </row>
    <row r="308" spans="1:3">
      <c r="A308" t="str">
        <f>"1508951179"</f>
        <v>1508951179</v>
      </c>
      <c r="B308" t="str">
        <f>" LAURA SURMAN"</f>
        <v xml:space="preserve"> LAURA SURMAN</v>
      </c>
      <c r="C308" t="str">
        <f>"ADIRON DACK COMMUNITY PHYSICIANS"</f>
        <v>ADIRON DACK COMMUNITY PHYSICIANS</v>
      </c>
    </row>
    <row r="309" spans="1:3">
      <c r="A309" t="str">
        <f>"1356444160"</f>
        <v>1356444160</v>
      </c>
      <c r="B309" t="str">
        <f>" LAUREN GIUSTRA"</f>
        <v xml:space="preserve"> LAUREN GIUSTRA</v>
      </c>
      <c r="C309" t="str">
        <f>"LAUREN GIUSTRA"</f>
        <v>LAUREN GIUSTRA</v>
      </c>
    </row>
    <row r="310" spans="1:3">
      <c r="A310" t="str">
        <f>"1447213434"</f>
        <v>1447213434</v>
      </c>
      <c r="B310" t="str">
        <f>" LAWRENCE REITER"</f>
        <v xml:space="preserve"> LAWRENCE REITER</v>
      </c>
      <c r="C310" t="str">
        <f>"INDIRA KOSHY"</f>
        <v>INDIRA KOSHY</v>
      </c>
    </row>
    <row r="311" spans="1:3">
      <c r="A311" t="str">
        <f>"1790851814"</f>
        <v>1790851814</v>
      </c>
      <c r="B311" t="str">
        <f>" LEIA RAPHAELIDIS"</f>
        <v xml:space="preserve"> LEIA RAPHAELIDIS</v>
      </c>
      <c r="C311" t="str">
        <f>"Planned Parenthood "</f>
        <v xml:space="preserve">Planned Parenthood </v>
      </c>
    </row>
    <row r="312" spans="1:3">
      <c r="A312" t="str">
        <f>"1982694709"</f>
        <v>1982694709</v>
      </c>
      <c r="B312" t="str">
        <f>" LENORE LAMPERT"</f>
        <v xml:space="preserve"> LENORE LAMPERT</v>
      </c>
      <c r="C312" t="str">
        <f>"FAXTON ST LUKE'S HEALTHCARE"</f>
        <v>FAXTON ST LUKE'S HEALTHCARE</v>
      </c>
    </row>
    <row r="313" spans="1:3">
      <c r="A313" t="str">
        <f>"1942380753"</f>
        <v>1942380753</v>
      </c>
      <c r="B313" t="str">
        <f>" LIANE DONOHUE"</f>
        <v xml:space="preserve"> LIANE DONOHUE</v>
      </c>
      <c r="C313" t="str">
        <f>"CROUSE HEALTH HOSPITAL"</f>
        <v>CROUSE HEALTH HOSPITAL</v>
      </c>
    </row>
    <row r="314" spans="1:3">
      <c r="A314" t="str">
        <f>"1902099229"</f>
        <v>1902099229</v>
      </c>
      <c r="B314" t="str">
        <f>" LILIYA PROTASOVITSKIY"</f>
        <v xml:space="preserve"> LILIYA PROTASOVITSKIY</v>
      </c>
      <c r="C314" t="str">
        <f>"FAXTON ST LUKES HEALTHCARE"</f>
        <v>FAXTON ST LUKES HEALTHCARE</v>
      </c>
    </row>
    <row r="315" spans="1:3">
      <c r="A315" t="str">
        <f>"1104974971"</f>
        <v>1104974971</v>
      </c>
      <c r="B315" t="str">
        <f>" LINDA SILLARS"</f>
        <v xml:space="preserve"> LINDA SILLARS</v>
      </c>
      <c r="C315" t="str">
        <f>"DEBRA A. CARDARELLI"</f>
        <v>DEBRA A. CARDARELLI</v>
      </c>
    </row>
    <row r="316" spans="1:3">
      <c r="A316" t="str">
        <f>"1417048224"</f>
        <v>1417048224</v>
      </c>
      <c r="B316" t="str">
        <f>" LINDA TROIA"</f>
        <v xml:space="preserve"> LINDA TROIA</v>
      </c>
      <c r="C316" t="s">
        <v>28</v>
      </c>
    </row>
    <row r="317" spans="1:3">
      <c r="A317" t="str">
        <f>"1588095384"</f>
        <v>1588095384</v>
      </c>
      <c r="B317" t="str">
        <f>" LINDSEY GILCHRIST"</f>
        <v xml:space="preserve"> LINDSEY GILCHRIST</v>
      </c>
      <c r="C317" t="str">
        <f>"COMMUNITY HEALTH &amp; BEHAVIORAL SERVICES"</f>
        <v>COMMUNITY HEALTH &amp; BEHAVIORAL SERVICES</v>
      </c>
    </row>
    <row r="318" spans="1:3">
      <c r="A318" t="str">
        <f>"1962405001"</f>
        <v>1962405001</v>
      </c>
      <c r="B318" t="str">
        <f>" LINGAPPA SRINIVAMERNATH"</f>
        <v xml:space="preserve"> LINGAPPA SRINIVAMERNATH</v>
      </c>
      <c r="C318" t="str">
        <f>"EMERGENCY PHYSICIANS SERVICES OF NEW YORK"</f>
        <v>EMERGENCY PHYSICIANS SERVICES OF NEW YORK</v>
      </c>
    </row>
    <row r="319" spans="1:3">
      <c r="A319" t="str">
        <f>"1861499196"</f>
        <v>1861499196</v>
      </c>
      <c r="B319" t="str">
        <f>" LISA EVANS"</f>
        <v xml:space="preserve"> LISA EVANS</v>
      </c>
      <c r="C319" t="s">
        <v>29</v>
      </c>
    </row>
    <row r="320" spans="1:3">
      <c r="A320" t="str">
        <f>"1477960474"</f>
        <v>1477960474</v>
      </c>
      <c r="B320" t="str">
        <f>" LISA ISABELL"</f>
        <v xml:space="preserve"> LISA ISABELL</v>
      </c>
      <c r="C320" t="str">
        <f>"ST JOSEPH'S MEDICAL PC"</f>
        <v>ST JOSEPH'S MEDICAL PC</v>
      </c>
    </row>
    <row r="321" spans="1:3">
      <c r="A321" t="str">
        <f>"1871558833"</f>
        <v>1871558833</v>
      </c>
      <c r="B321" t="str">
        <f>" LOREN VANRIPER"</f>
        <v xml:space="preserve"> LOREN VANRIPER</v>
      </c>
      <c r="C321" t="s">
        <v>9</v>
      </c>
    </row>
    <row r="322" spans="1:3">
      <c r="A322" t="str">
        <f>"1477873776"</f>
        <v>1477873776</v>
      </c>
      <c r="B322" t="str">
        <f>" LORNA FORBES"</f>
        <v xml:space="preserve"> LORNA FORBES</v>
      </c>
      <c r="C322" t="str">
        <f>"SYRACUSE COMMUNITY HEALTH CENTER"</f>
        <v>SYRACUSE COMMUNITY HEALTH CENTER</v>
      </c>
    </row>
    <row r="323" spans="1:3">
      <c r="A323" t="str">
        <f>"1972939007"</f>
        <v>1972939007</v>
      </c>
      <c r="B323" t="str">
        <f>" LORRAINE ROJAS"</f>
        <v xml:space="preserve"> LORRAINE ROJAS</v>
      </c>
      <c r="C323" t="str">
        <f>"LORRAINE ROJAS"</f>
        <v>LORRAINE ROJAS</v>
      </c>
    </row>
    <row r="324" spans="1:3">
      <c r="A324" t="str">
        <f>"1699720458"</f>
        <v>1699720458</v>
      </c>
      <c r="B324" t="str">
        <f>" LUBNA WANI"</f>
        <v xml:space="preserve"> LUBNA WANI</v>
      </c>
      <c r="C324" t="str">
        <f>"UNIVERSITY HEALTH CARE CENTER NEUROLOGY"</f>
        <v>UNIVERSITY HEALTH CARE CENTER NEUROLOGY</v>
      </c>
    </row>
    <row r="325" spans="1:3">
      <c r="A325" t="str">
        <f>"1336104900"</f>
        <v>1336104900</v>
      </c>
      <c r="B325" t="str">
        <f>" LUIS CASTRO"</f>
        <v xml:space="preserve"> LUIS CASTRO</v>
      </c>
      <c r="C325" t="s">
        <v>2</v>
      </c>
    </row>
    <row r="326" spans="1:3">
      <c r="A326" t="str">
        <f>"1366400152"</f>
        <v>1366400152</v>
      </c>
      <c r="B326" t="str">
        <f>" LUIS MEJICO"</f>
        <v xml:space="preserve"> LUIS MEJICO</v>
      </c>
      <c r="C326" t="str">
        <f>"LUIS MEJICO"</f>
        <v>LUIS MEJICO</v>
      </c>
    </row>
    <row r="327" spans="1:3">
      <c r="A327" t="str">
        <f>"1912119595"</f>
        <v>1912119595</v>
      </c>
      <c r="B327" t="str">
        <f>" LWIN WIN"</f>
        <v xml:space="preserve"> LWIN WIN</v>
      </c>
      <c r="C327" t="str">
        <f>"Whitesboro Medical Clinic"</f>
        <v>Whitesboro Medical Clinic</v>
      </c>
    </row>
    <row r="328" spans="1:3">
      <c r="A328" t="str">
        <f>"1518996776"</f>
        <v>1518996776</v>
      </c>
      <c r="B328" t="str">
        <f>" MA VICTORIA CHANLIECCO"</f>
        <v xml:space="preserve"> MA VICTORIA CHANLIECCO</v>
      </c>
      <c r="C328" t="str">
        <f>"EMERGENCY PHYSICIANS SERVICES OF NEW YORK"</f>
        <v>EMERGENCY PHYSICIANS SERVICES OF NEW YORK</v>
      </c>
    </row>
    <row r="329" spans="1:3">
      <c r="A329" t="str">
        <f>"1427074343"</f>
        <v>1427074343</v>
      </c>
      <c r="B329" t="str">
        <f>" MAGENDRA THAKUR"</f>
        <v xml:space="preserve"> MAGENDRA THAKUR</v>
      </c>
      <c r="C329" t="str">
        <f>"MASSENA MEMORIAL HOSPITAL"</f>
        <v>MASSENA MEMORIAL HOSPITAL</v>
      </c>
    </row>
    <row r="330" spans="1:3">
      <c r="A330" t="str">
        <f>"1053691899"</f>
        <v>1053691899</v>
      </c>
      <c r="B330" t="str">
        <f>" MAGGIE WINTER"</f>
        <v xml:space="preserve"> MAGGIE WINTER</v>
      </c>
      <c r="C330" t="str">
        <f>"FAMILYCARE MEDICAL GROUP"</f>
        <v>FAMILYCARE MEDICAL GROUP</v>
      </c>
    </row>
    <row r="331" spans="1:3">
      <c r="A331" t="str">
        <f>"1124311360"</f>
        <v>1124311360</v>
      </c>
      <c r="B331" t="str">
        <f>" MALLORY SULLIVAN"</f>
        <v xml:space="preserve"> MALLORY SULLIVAN</v>
      </c>
      <c r="C331" t="str">
        <f>"COMMUNITY MEMORIAL HEALTH CENTER AND SPECIALTIES"</f>
        <v>COMMUNITY MEMORIAL HEALTH CENTER AND SPECIALTIES</v>
      </c>
    </row>
    <row r="332" spans="1:3">
      <c r="A332" t="str">
        <f>"1205036878"</f>
        <v>1205036878</v>
      </c>
      <c r="B332" t="str">
        <f>" MANASVI JAITLY"</f>
        <v xml:space="preserve"> MANASVI JAITLY</v>
      </c>
      <c r="C332" t="str">
        <f>"River Hospital Inc"</f>
        <v>River Hospital Inc</v>
      </c>
    </row>
    <row r="333" spans="1:3">
      <c r="A333" t="str">
        <f>"1174629422"</f>
        <v>1174629422</v>
      </c>
      <c r="B333" t="str">
        <f>" MANGALA PATIL"</f>
        <v xml:space="preserve"> MANGALA PATIL</v>
      </c>
      <c r="C333" t="str">
        <f>"MAYSAE SANCROWN"</f>
        <v>MAYSAE SANCROWN</v>
      </c>
    </row>
    <row r="334" spans="1:3">
      <c r="A334" t="str">
        <f>"1649204561"</f>
        <v>1649204561</v>
      </c>
      <c r="B334" t="str">
        <f>" MARGARET MAHAN"</f>
        <v xml:space="preserve"> MARGARET MAHAN</v>
      </c>
      <c r="C334" t="str">
        <f>"UNIVERSITY OB GYN ASSOCIATES I"</f>
        <v>UNIVERSITY OB GYN ASSOCIATES I</v>
      </c>
    </row>
    <row r="335" spans="1:3">
      <c r="A335" t="str">
        <f>"1255302162"</f>
        <v>1255302162</v>
      </c>
      <c r="B335" t="str">
        <f>" MARGARET SENNETT"</f>
        <v xml:space="preserve"> MARGARET SENNETT</v>
      </c>
      <c r="C335" t="str">
        <f>"OSWEGO HEALTH CENTER"</f>
        <v>OSWEGO HEALTH CENTER</v>
      </c>
    </row>
    <row r="336" spans="1:3">
      <c r="A336" t="str">
        <f>"1386881571"</f>
        <v>1386881571</v>
      </c>
      <c r="B336" t="str">
        <f>" MARIA CICIARELLI"</f>
        <v xml:space="preserve"> MARIA CICIARELLI</v>
      </c>
      <c r="C336" t="str">
        <f>"CNY INTERNISTS PC"</f>
        <v>CNY INTERNISTS PC</v>
      </c>
    </row>
    <row r="337" spans="1:3">
      <c r="A337" t="str">
        <f>"1396779872"</f>
        <v>1396779872</v>
      </c>
      <c r="B337" t="str">
        <f>" MARIA CZERWINSKI"</f>
        <v xml:space="preserve"> MARIA CZERWINSKI</v>
      </c>
      <c r="C337" t="str">
        <f>"ELAINE KEE"</f>
        <v>ELAINE KEE</v>
      </c>
    </row>
    <row r="338" spans="1:3">
      <c r="A338" t="str">
        <f>"1134351851"</f>
        <v>1134351851</v>
      </c>
      <c r="B338" t="str">
        <f>" MARIA LUMBRAZO"</f>
        <v xml:space="preserve"> MARIA LUMBRAZO</v>
      </c>
      <c r="C338" t="str">
        <f>"SYRACUSE COMMUNITY HEALTH CENTER"</f>
        <v>SYRACUSE COMMUNITY HEALTH CENTER</v>
      </c>
    </row>
    <row r="339" spans="1:3">
      <c r="A339" t="str">
        <f>"1285741199"</f>
        <v>1285741199</v>
      </c>
      <c r="B339" t="str">
        <f>" MARIE J. DESRAVINES"</f>
        <v xml:space="preserve"> MARIE J. DESRAVINES</v>
      </c>
      <c r="C339" t="str">
        <f>"OSWEGO HEALTH CENTER"</f>
        <v>OSWEGO HEALTH CENTER</v>
      </c>
    </row>
    <row r="340" spans="1:3">
      <c r="A340" t="str">
        <f>"1124112545"</f>
        <v>1124112545</v>
      </c>
      <c r="B340" t="str">
        <f>" MARILYN BAKER-CAMPOLA"</f>
        <v xml:space="preserve"> MARILYN BAKER-CAMPOLA</v>
      </c>
      <c r="C340" t="str">
        <f>"FAXTON ST. LUKES ACP"</f>
        <v>FAXTON ST. LUKES ACP</v>
      </c>
    </row>
    <row r="341" spans="1:3">
      <c r="A341" t="str">
        <f>"1437108560"</f>
        <v>1437108560</v>
      </c>
      <c r="B341" t="str">
        <f>" MARILYN HUBBARD"</f>
        <v xml:space="preserve"> MARILYN HUBBARD</v>
      </c>
      <c r="C341" t="str">
        <f>"COMMUNITY HEALTH &amp; BEHAVIORAL SERVICES"</f>
        <v>COMMUNITY HEALTH &amp; BEHAVIORAL SERVICES</v>
      </c>
    </row>
    <row r="342" spans="1:3">
      <c r="A342" t="str">
        <f>"1245584101"</f>
        <v>1245584101</v>
      </c>
      <c r="B342" t="str">
        <f>" MARINO O. MAURO"</f>
        <v xml:space="preserve"> MARINO O. MAURO</v>
      </c>
      <c r="C342" t="s">
        <v>2</v>
      </c>
    </row>
    <row r="343" spans="1:3">
      <c r="A343" t="str">
        <f>"1932173341"</f>
        <v>1932173341</v>
      </c>
      <c r="B343" t="str">
        <f>" MARK ADELSON"</f>
        <v xml:space="preserve"> MARK ADELSON</v>
      </c>
      <c r="C343" t="str">
        <f>"COMPREHENSIVE GYNECOLOGY"</f>
        <v>COMPREHENSIVE GYNECOLOGY</v>
      </c>
    </row>
    <row r="344" spans="1:3">
      <c r="A344" t="str">
        <f>"1245391440"</f>
        <v>1245391440</v>
      </c>
      <c r="B344" t="str">
        <f>" MARK BILLINSON"</f>
        <v xml:space="preserve"> MARK BILLINSON</v>
      </c>
      <c r="C344" t="s">
        <v>3</v>
      </c>
    </row>
    <row r="345" spans="1:3">
      <c r="A345" t="str">
        <f>"1760480982"</f>
        <v>1760480982</v>
      </c>
      <c r="B345" t="str">
        <f>" MARK J. CHARLAMB"</f>
        <v xml:space="preserve"> MARK J. CHARLAMB</v>
      </c>
      <c r="C345" t="str">
        <f>"FAMILY HEALTH CENTER OF CMH"</f>
        <v>FAMILY HEALTH CENTER OF CMH</v>
      </c>
    </row>
    <row r="346" spans="1:3">
      <c r="A346" t="str">
        <f>"1275510026"</f>
        <v>1275510026</v>
      </c>
      <c r="B346" t="str">
        <f>" MARK PISIK"</f>
        <v xml:space="preserve"> MARK PISIK</v>
      </c>
      <c r="C346" t="str">
        <f>"Family Care Medical Group"</f>
        <v>Family Care Medical Group</v>
      </c>
    </row>
    <row r="347" spans="1:3">
      <c r="A347" t="str">
        <f>"1639169048"</f>
        <v>1639169048</v>
      </c>
      <c r="B347" t="str">
        <f>" MARK WARFEL"</f>
        <v xml:space="preserve"> MARK WARFEL</v>
      </c>
      <c r="C347" t="str">
        <f>"MARK WARFEL"</f>
        <v>MARK WARFEL</v>
      </c>
    </row>
    <row r="348" spans="1:3">
      <c r="A348" t="str">
        <f>"1891855730"</f>
        <v>1891855730</v>
      </c>
      <c r="B348" t="str">
        <f>" MARTA ANGHEL"</f>
        <v xml:space="preserve"> MARTA ANGHEL</v>
      </c>
      <c r="C348" t="str">
        <f>"WADDINGTON HEALTH CENTER"</f>
        <v>WADDINGTON HEALTH CENTER</v>
      </c>
    </row>
    <row r="349" spans="1:3">
      <c r="A349" t="str">
        <f>"1063486785"</f>
        <v>1063486785</v>
      </c>
      <c r="B349" t="str">
        <f>" MARTHA B. ALBERTI"</f>
        <v xml:space="preserve"> MARTHA B. ALBERTI</v>
      </c>
      <c r="C349" t="str">
        <f>"FAMILYCARE MEDICAL GROUP"</f>
        <v>FAMILYCARE MEDICAL GROUP</v>
      </c>
    </row>
    <row r="350" spans="1:3">
      <c r="A350" t="str">
        <f>"1043218951"</f>
        <v>1043218951</v>
      </c>
      <c r="B350" t="str">
        <f>" MARTHA PISANIELLO"</f>
        <v xml:space="preserve"> MARTHA PISANIELLO</v>
      </c>
      <c r="C350" t="str">
        <f>"Lewis County General Hospital"</f>
        <v>Lewis County General Hospital</v>
      </c>
    </row>
    <row r="351" spans="1:3">
      <c r="A351" t="str">
        <f>"1629189816"</f>
        <v>1629189816</v>
      </c>
      <c r="B351" t="str">
        <f>" MARTIN WEITZEL"</f>
        <v xml:space="preserve"> MARTIN WEITZEL</v>
      </c>
      <c r="C351" t="str">
        <f>"LYNN E. MILLER"</f>
        <v>LYNN E. MILLER</v>
      </c>
    </row>
    <row r="352" spans="1:3">
      <c r="A352" t="str">
        <f>"1063428571"</f>
        <v>1063428571</v>
      </c>
      <c r="B352" t="str">
        <f>" MARY CALLAN"</f>
        <v xml:space="preserve"> MARY CALLAN</v>
      </c>
      <c r="C352" t="str">
        <f>"HIGHLAND FAMILY MEDICINE"</f>
        <v>HIGHLAND FAMILY MEDICINE</v>
      </c>
    </row>
    <row r="353" spans="1:3">
      <c r="A353" t="str">
        <f>"1508869199"</f>
        <v>1508869199</v>
      </c>
      <c r="B353" t="str">
        <f>" MARY DRIESCH"</f>
        <v xml:space="preserve"> MARY DRIESCH</v>
      </c>
      <c r="C353" t="str">
        <f>"Ovid Community Health"</f>
        <v>Ovid Community Health</v>
      </c>
    </row>
    <row r="354" spans="1:3">
      <c r="A354" t="str">
        <f>"1558352260"</f>
        <v>1558352260</v>
      </c>
      <c r="B354" t="str">
        <f>" MARY G. BOTSFORD"</f>
        <v xml:space="preserve"> MARY G. BOTSFORD</v>
      </c>
      <c r="C354" t="s">
        <v>3</v>
      </c>
    </row>
    <row r="355" spans="1:3">
      <c r="A355" t="str">
        <f>"1063401602"</f>
        <v>1063401602</v>
      </c>
      <c r="B355" t="str">
        <f>" MARY JO DUNBAR"</f>
        <v xml:space="preserve"> MARY JO DUNBAR</v>
      </c>
      <c r="C355" t="s">
        <v>30</v>
      </c>
    </row>
    <row r="356" spans="1:3">
      <c r="A356" t="str">
        <f>"1720064470"</f>
        <v>1720064470</v>
      </c>
      <c r="B356" t="str">
        <f>" MARYBETH CARLBERG"</f>
        <v xml:space="preserve"> MARYBETH CARLBERG</v>
      </c>
      <c r="C356" t="str">
        <f>"MARYBETH CARLBERG"</f>
        <v>MARYBETH CARLBERG</v>
      </c>
    </row>
    <row r="357" spans="1:3">
      <c r="A357" t="str">
        <f>"1114133402"</f>
        <v>1114133402</v>
      </c>
      <c r="B357" t="str">
        <f>" MARYELLEN LEWIS"</f>
        <v xml:space="preserve"> MARYELLEN LEWIS</v>
      </c>
      <c r="C357" t="str">
        <f>"ST. JOSEPH'S HOSPITAL HEALTH CENTER"</f>
        <v>ST. JOSEPH'S HOSPITAL HEALTH CENTER</v>
      </c>
    </row>
    <row r="358" spans="1:3">
      <c r="A358" t="str">
        <f>"1700835337"</f>
        <v>1700835337</v>
      </c>
      <c r="B358" t="str">
        <f>" MARYLENE DUAH"</f>
        <v xml:space="preserve"> MARYLENE DUAH</v>
      </c>
      <c r="C358" t="str">
        <f>"SAMARITAN FAMILY HEALTH CENTER"</f>
        <v>SAMARITAN FAMILY HEALTH CENTER</v>
      </c>
    </row>
    <row r="359" spans="1:3">
      <c r="A359" t="str">
        <f>"1629154653"</f>
        <v>1629154653</v>
      </c>
      <c r="B359" t="str">
        <f>" MATTHEW CHAFFIN"</f>
        <v xml:space="preserve"> MATTHEW CHAFFIN</v>
      </c>
      <c r="C359" t="str">
        <f>"LAURA MARTIN"</f>
        <v>LAURA MARTIN</v>
      </c>
    </row>
    <row r="360" spans="1:3">
      <c r="A360" t="str">
        <f>"1396822458"</f>
        <v>1396822458</v>
      </c>
      <c r="B360" t="str">
        <f>" MATTHEW HEKTOR"</f>
        <v xml:space="preserve"> MATTHEW HEKTOR</v>
      </c>
      <c r="C360" t="str">
        <f>"PRIMARY CARE ASSOCIATES"</f>
        <v>PRIMARY CARE ASSOCIATES</v>
      </c>
    </row>
    <row r="361" spans="1:3">
      <c r="A361" t="str">
        <f>"1245220656"</f>
        <v>1245220656</v>
      </c>
      <c r="B361" t="str">
        <f>" MATTHEW LIEPKE"</f>
        <v xml:space="preserve"> MATTHEW LIEPKE</v>
      </c>
      <c r="C361" t="str">
        <f>"PORT CITY FAMILY MEDICINE"</f>
        <v>PORT CITY FAMILY MEDICINE</v>
      </c>
    </row>
    <row r="362" spans="1:3">
      <c r="A362" t="str">
        <f>"1710140900"</f>
        <v>1710140900</v>
      </c>
      <c r="B362" t="str">
        <f>" MATTHEW MCKAY"</f>
        <v xml:space="preserve"> MATTHEW MCKAY</v>
      </c>
      <c r="C362" t="str">
        <f>"MATTHEW MCKAY"</f>
        <v>MATTHEW MCKAY</v>
      </c>
    </row>
    <row r="363" spans="1:3">
      <c r="A363" t="str">
        <f>"1346262508"</f>
        <v>1346262508</v>
      </c>
      <c r="B363" t="str">
        <f>" MATTHEW PICONE"</f>
        <v xml:space="preserve"> MATTHEW PICONE</v>
      </c>
      <c r="C363" t="str">
        <f>"ST JOSEPH'S MEDICAL PC"</f>
        <v>ST JOSEPH'S MEDICAL PC</v>
      </c>
    </row>
    <row r="364" spans="1:3">
      <c r="A364" t="str">
        <f>"1851641971"</f>
        <v>1851641971</v>
      </c>
      <c r="B364" t="str">
        <f>" MAUREEN GALLAGHER"</f>
        <v xml:space="preserve"> MAUREEN GALLAGHER</v>
      </c>
      <c r="C364" t="str">
        <f>"BASSETT HEALTHCARE/WEST WINFIELD"</f>
        <v>BASSETT HEALTHCARE/WEST WINFIELD</v>
      </c>
    </row>
    <row r="365" spans="1:3">
      <c r="A365" t="str">
        <f>"1407110919"</f>
        <v>1407110919</v>
      </c>
      <c r="B365" t="str">
        <f>" MAYSAE SANCROWN"</f>
        <v xml:space="preserve"> MAYSAE SANCROWN</v>
      </c>
      <c r="C365" t="str">
        <f>"MAYSAE SANCROWN"</f>
        <v>MAYSAE SANCROWN</v>
      </c>
    </row>
    <row r="366" spans="1:3">
      <c r="A366" t="str">
        <f>"1356774939"</f>
        <v>1356774939</v>
      </c>
      <c r="B366" t="str">
        <f>" MEAGHAN MURPHY"</f>
        <v xml:space="preserve"> MEAGHAN MURPHY</v>
      </c>
      <c r="C366" t="str">
        <f>"CROUSE HEALTH HOSPITAL"</f>
        <v>CROUSE HEALTH HOSPITAL</v>
      </c>
    </row>
    <row r="367" spans="1:3">
      <c r="A367" t="str">
        <f>"1548303571"</f>
        <v>1548303571</v>
      </c>
      <c r="B367" t="str">
        <f>" MELANIE A. DUNHAM"</f>
        <v xml:space="preserve"> MELANIE A. DUNHAM</v>
      </c>
      <c r="C367" t="str">
        <f>"SYRACUSE COMMUNITY HEALTH CENTER"</f>
        <v>SYRACUSE COMMUNITY HEALTH CENTER</v>
      </c>
    </row>
    <row r="368" spans="1:3">
      <c r="A368" t="str">
        <f>"1396936159"</f>
        <v>1396936159</v>
      </c>
      <c r="B368" t="str">
        <f>" MELISSA NOEL"</f>
        <v xml:space="preserve"> MELISSA NOEL</v>
      </c>
      <c r="C368" t="str">
        <f>"NORTHERN OSWEGO COUNTY HEALTH-PULASKI HEALTH CTR"</f>
        <v>NORTHERN OSWEGO COUNTY HEALTH-PULASKI HEALTH CTR</v>
      </c>
    </row>
    <row r="369" spans="1:3">
      <c r="A369" t="str">
        <f>"1215913371"</f>
        <v>1215913371</v>
      </c>
      <c r="B369" t="str">
        <f>" MICHAEL ATTILIO"</f>
        <v xml:space="preserve"> MICHAEL ATTILIO</v>
      </c>
      <c r="C369" t="str">
        <f>"FAXTON ST LUKES HEALTHCARE"</f>
        <v>FAXTON ST LUKES HEALTHCARE</v>
      </c>
    </row>
    <row r="370" spans="1:3">
      <c r="A370" t="str">
        <f>"1528161338"</f>
        <v>1528161338</v>
      </c>
      <c r="B370" t="s">
        <v>31</v>
      </c>
      <c r="C370" t="str">
        <f>"Community Health Behavioral Service"</f>
        <v>Community Health Behavioral Service</v>
      </c>
    </row>
    <row r="371" spans="1:3">
      <c r="A371" t="str">
        <f>"1841428869"</f>
        <v>1841428869</v>
      </c>
      <c r="B371" t="str">
        <f>" MICHAEL DOBRINSKI"</f>
        <v xml:space="preserve"> MICHAEL DOBRINSKI</v>
      </c>
      <c r="C371" t="str">
        <f>"UHS WITH DR ROSA SOLIS"</f>
        <v>UHS WITH DR ROSA SOLIS</v>
      </c>
    </row>
    <row r="372" spans="1:3">
      <c r="A372" t="str">
        <f>"1780917013"</f>
        <v>1780917013</v>
      </c>
      <c r="B372" t="str">
        <f>" MICHAEL DOOLITTLE"</f>
        <v xml:space="preserve"> MICHAEL DOOLITTLE</v>
      </c>
      <c r="C372" t="s">
        <v>32</v>
      </c>
    </row>
    <row r="373" spans="1:3">
      <c r="A373" t="str">
        <f>"1346247608"</f>
        <v>1346247608</v>
      </c>
      <c r="B373" t="str">
        <f>" MICHAEL MASTROLEO"</f>
        <v xml:space="preserve"> MICHAEL MASTROLEO</v>
      </c>
      <c r="C373" t="str">
        <f>"Crouse Hospital"</f>
        <v>Crouse Hospital</v>
      </c>
    </row>
    <row r="374" spans="1:3">
      <c r="A374" t="str">
        <f>"1689944779"</f>
        <v>1689944779</v>
      </c>
      <c r="B374" t="str">
        <f>" MICHAEL MIETZ"</f>
        <v xml:space="preserve"> MICHAEL MIETZ</v>
      </c>
      <c r="C374" t="str">
        <f>"Sister Rose Vincent Family Medicine Center"</f>
        <v>Sister Rose Vincent Family Medicine Center</v>
      </c>
    </row>
    <row r="375" spans="1:3">
      <c r="A375" t="str">
        <f>"1700809860"</f>
        <v>1700809860</v>
      </c>
      <c r="B375" t="str">
        <f>" MICHAEL NUPUF"</f>
        <v xml:space="preserve"> MICHAEL NUPUF</v>
      </c>
      <c r="C375" t="s">
        <v>33</v>
      </c>
    </row>
    <row r="376" spans="1:3">
      <c r="A376" t="str">
        <f>"1659431963"</f>
        <v>1659431963</v>
      </c>
      <c r="B376" t="str">
        <f>" MICHAEL P. KENNEY"</f>
        <v xml:space="preserve"> MICHAEL P. KENNEY</v>
      </c>
      <c r="C376" t="str">
        <f>"St. Joseph's Medical PC"</f>
        <v>St. Joseph's Medical PC</v>
      </c>
    </row>
    <row r="377" spans="1:3">
      <c r="A377" t="str">
        <f>"1568495380"</f>
        <v>1568495380</v>
      </c>
      <c r="B377" t="str">
        <f>" MICHAEL RUTKOWSKI"</f>
        <v xml:space="preserve"> MICHAEL RUTKOWSKI</v>
      </c>
      <c r="C377" t="str">
        <f>"St. Joseph Hospital"</f>
        <v>St. Joseph Hospital</v>
      </c>
    </row>
    <row r="378" spans="1:3">
      <c r="A378" t="str">
        <f>"1245246933"</f>
        <v>1245246933</v>
      </c>
      <c r="B378" t="str">
        <f>" MICHAEL SCHIANO"</f>
        <v xml:space="preserve"> MICHAEL SCHIANO</v>
      </c>
      <c r="C378" t="str">
        <f>"St. Joseph's Physicians Urgent Care"</f>
        <v>St. Joseph's Physicians Urgent Care</v>
      </c>
    </row>
    <row r="379" spans="1:3">
      <c r="A379" t="str">
        <f>"1992702278"</f>
        <v>1992702278</v>
      </c>
      <c r="B379" t="str">
        <f>" MICHAEL SHARAK"</f>
        <v xml:space="preserve"> MICHAEL SHARAK</v>
      </c>
      <c r="C379" t="str">
        <f>"SUNY HSC MEDICAL SERVICE GRP"</f>
        <v>SUNY HSC MEDICAL SERVICE GRP</v>
      </c>
    </row>
    <row r="380" spans="1:3">
      <c r="A380" t="str">
        <f>"1013936798"</f>
        <v>1013936798</v>
      </c>
      <c r="B380" t="str">
        <f>" MICHAEL T. KERNAN"</f>
        <v xml:space="preserve"> MICHAEL T. KERNAN</v>
      </c>
      <c r="C380" t="str">
        <f>"IMMEDIATE MEDICAL CARE OF CNY"</f>
        <v>IMMEDIATE MEDICAL CARE OF CNY</v>
      </c>
    </row>
    <row r="381" spans="1:3">
      <c r="A381" t="str">
        <f>"1124089552"</f>
        <v>1124089552</v>
      </c>
      <c r="B381" t="str">
        <f>" MICHAEL TONG"</f>
        <v xml:space="preserve"> MICHAEL TONG</v>
      </c>
      <c r="C381" t="str">
        <f>"JOSEPH CAMBARERI"</f>
        <v>JOSEPH CAMBARERI</v>
      </c>
    </row>
    <row r="382" spans="1:3">
      <c r="A382" t="str">
        <f>"1568445245"</f>
        <v>1568445245</v>
      </c>
      <c r="B382" t="str">
        <f>" MICHAEL WALSH"</f>
        <v xml:space="preserve"> MICHAEL WALSH</v>
      </c>
      <c r="C382" t="str">
        <f>"ST ELIZABETH MEDICAL CENTER"</f>
        <v>ST ELIZABETH MEDICAL CENTER</v>
      </c>
    </row>
    <row r="383" spans="1:3">
      <c r="A383" t="str">
        <f>"1659317980"</f>
        <v>1659317980</v>
      </c>
      <c r="B383" t="str">
        <f>" MICHEAL STEPHENS"</f>
        <v xml:space="preserve"> MICHEAL STEPHENS</v>
      </c>
      <c r="C383" t="str">
        <f>"OSWEGO FAMILY PHYSICIANS PC"</f>
        <v>OSWEGO FAMILY PHYSICIANS PC</v>
      </c>
    </row>
    <row r="384" spans="1:3">
      <c r="A384" t="str">
        <f>"1477540771"</f>
        <v>1477540771</v>
      </c>
      <c r="B384" t="str">
        <f>" MICHELLE JOHNSTON"</f>
        <v xml:space="preserve"> MICHELLE JOHNSTON</v>
      </c>
      <c r="C384" t="str">
        <f>"MICHELLE JOHNSTON"</f>
        <v>MICHELLE JOHNSTON</v>
      </c>
    </row>
    <row r="385" spans="1:3">
      <c r="A385" t="str">
        <f>"1255340006"</f>
        <v>1255340006</v>
      </c>
      <c r="B385" t="str">
        <f>" MICHELLE L. FASSINGER"</f>
        <v xml:space="preserve"> MICHELLE L. FASSINGER</v>
      </c>
      <c r="C385" t="s">
        <v>34</v>
      </c>
    </row>
    <row r="386" spans="1:3">
      <c r="A386" t="str">
        <f>"1659311157"</f>
        <v>1659311157</v>
      </c>
      <c r="B386" t="str">
        <f>" MICHELLE RHYMESTINE"</f>
        <v xml:space="preserve"> MICHELLE RHYMESTINE</v>
      </c>
      <c r="C386" t="str">
        <f>"COMMUNITY MEMORIAL HEALTH CENTER AND SPECIALTIES"</f>
        <v>COMMUNITY MEMORIAL HEALTH CENTER AND SPECIALTIES</v>
      </c>
    </row>
    <row r="387" spans="1:3">
      <c r="A387" t="str">
        <f>"1891767000"</f>
        <v>1891767000</v>
      </c>
      <c r="B387" t="str">
        <f>" MIKHAIL SHIK"</f>
        <v xml:space="preserve"> MIKHAIL SHIK</v>
      </c>
      <c r="C387" t="str">
        <f>"FAMILY CARE MEDICAL GROUP"</f>
        <v>FAMILY CARE MEDICAL GROUP</v>
      </c>
    </row>
    <row r="388" spans="1:3">
      <c r="A388" t="str">
        <f>"1093975237"</f>
        <v>1093975237</v>
      </c>
      <c r="B388" t="str">
        <f>" MINNIE SHEILA CRUZ-TOLENTINO"</f>
        <v xml:space="preserve"> MINNIE SHEILA CRUZ-TOLENTINO</v>
      </c>
      <c r="C388" t="str">
        <f>"ADIRON DACK COMMUNITY PHYSICIANS"</f>
        <v>ADIRON DACK COMMUNITY PHYSICIANS</v>
      </c>
    </row>
    <row r="389" spans="1:3">
      <c r="A389" t="str">
        <f>"1174501498"</f>
        <v>1174501498</v>
      </c>
      <c r="B389" t="str">
        <f>" MITCHELL V. BRODEY"</f>
        <v xml:space="preserve"> MITCHELL V. BRODEY</v>
      </c>
      <c r="C389" t="s">
        <v>3</v>
      </c>
    </row>
    <row r="390" spans="1:3">
      <c r="A390" t="str">
        <f>"1962631614"</f>
        <v>1962631614</v>
      </c>
      <c r="B390" t="str">
        <f>" MOHAMED ABDELWAHAB HEND"</f>
        <v xml:space="preserve"> MOHAMED ABDELWAHAB HEND</v>
      </c>
      <c r="C390" t="str">
        <f>"MOHAMED ABDELWAHAB HEND"</f>
        <v>MOHAMED ABDELWAHAB HEND</v>
      </c>
    </row>
    <row r="391" spans="1:3">
      <c r="A391" t="str">
        <f>"1437291689"</f>
        <v>1437291689</v>
      </c>
      <c r="B391" t="str">
        <f>" MOHSIN SYED"</f>
        <v xml:space="preserve"> MOHSIN SYED</v>
      </c>
      <c r="C391" t="str">
        <f>"Slocum Dickson Medical Group"</f>
        <v>Slocum Dickson Medical Group</v>
      </c>
    </row>
    <row r="392" spans="1:3">
      <c r="A392" t="str">
        <f>"1417046038"</f>
        <v>1417046038</v>
      </c>
      <c r="B392" t="str">
        <f>" MOID KHAN"</f>
        <v xml:space="preserve"> MOID KHAN</v>
      </c>
      <c r="C392" t="str">
        <f>"NORTH COUNTRY FAMILY MED"</f>
        <v>NORTH COUNTRY FAMILY MED</v>
      </c>
    </row>
    <row r="393" spans="1:3">
      <c r="A393" t="str">
        <f>"1023336229"</f>
        <v>1023336229</v>
      </c>
      <c r="B393" t="str">
        <f>" MOLLY SCHUG"</f>
        <v xml:space="preserve"> MOLLY SCHUG</v>
      </c>
      <c r="C393" t="str">
        <f>"St. Elizabeth Medical Center"</f>
        <v>St. Elizabeth Medical Center</v>
      </c>
    </row>
    <row r="394" spans="1:3">
      <c r="A394" t="str">
        <f>"1881816015"</f>
        <v>1881816015</v>
      </c>
      <c r="B394" t="str">
        <f>" MONIDEEPA BARUAH"</f>
        <v xml:space="preserve"> MONIDEEPA BARUAH</v>
      </c>
      <c r="C394" t="str">
        <f>"FAXTON ST LUKE'S HEALTHCARE"</f>
        <v>FAXTON ST LUKE'S HEALTHCARE</v>
      </c>
    </row>
    <row r="395" spans="1:3">
      <c r="A395" t="str">
        <f>"1548250749"</f>
        <v>1548250749</v>
      </c>
      <c r="B395" t="str">
        <f>" MOUSTAFA AWAYDA"</f>
        <v xml:space="preserve"> MOUSTAFA AWAYDA</v>
      </c>
      <c r="C395" t="str">
        <f>"SYRACUSE COMMUNITY HEALTH CENTER"</f>
        <v>SYRACUSE COMMUNITY HEALTH CENTER</v>
      </c>
    </row>
    <row r="396" spans="1:3">
      <c r="A396" t="str">
        <f>"1083759641"</f>
        <v>1083759641</v>
      </c>
      <c r="B396" t="str">
        <f>" MUHAMMAD ALAM"</f>
        <v xml:space="preserve"> MUHAMMAD ALAM</v>
      </c>
      <c r="C396" t="str">
        <f>"DR ALAM CLINIC"</f>
        <v>DR ALAM CLINIC</v>
      </c>
    </row>
    <row r="397" spans="1:3">
      <c r="A397" t="str">
        <f>"1336100981"</f>
        <v>1336100981</v>
      </c>
      <c r="B397" t="str">
        <f>" MUHAMMAD NAIM"</f>
        <v xml:space="preserve"> MUHAMMAD NAIM</v>
      </c>
      <c r="C397" t="str">
        <f>"MUHAMMAD NAIM"</f>
        <v>MUHAMMAD NAIM</v>
      </c>
    </row>
    <row r="398" spans="1:3">
      <c r="A398" t="str">
        <f>"1831152941"</f>
        <v>1831152941</v>
      </c>
      <c r="B398" t="str">
        <f>" MYLES HOWARD"</f>
        <v xml:space="preserve"> MYLES HOWARD</v>
      </c>
      <c r="C398" t="str">
        <f>"MYLES HOWARD"</f>
        <v>MYLES HOWARD</v>
      </c>
    </row>
    <row r="399" spans="1:3">
      <c r="A399" t="str">
        <f>"1134410855"</f>
        <v>1134410855</v>
      </c>
      <c r="B399" t="str">
        <f>" NADINE KHOUZAM"</f>
        <v xml:space="preserve"> NADINE KHOUZAM</v>
      </c>
      <c r="C399" t="str">
        <f>"ST. JOSEPH`S PHYSICIAN"</f>
        <v>ST. JOSEPH`S PHYSICIAN</v>
      </c>
    </row>
    <row r="400" spans="1:3">
      <c r="A400" t="str">
        <f>"1437290913"</f>
        <v>1437290913</v>
      </c>
      <c r="B400" t="str">
        <f>" NAHED SAMIR ISKANDER"</f>
        <v xml:space="preserve"> NAHED SAMIR ISKANDER</v>
      </c>
      <c r="C400" t="s">
        <v>2</v>
      </c>
    </row>
    <row r="401" spans="1:3">
      <c r="A401" t="str">
        <f>"1114039799"</f>
        <v>1114039799</v>
      </c>
      <c r="B401" t="str">
        <f>" NAJI EL-KHOURY"</f>
        <v xml:space="preserve"> NAJI EL-KHOURY</v>
      </c>
      <c r="C401" t="str">
        <f>"NAJI EL-KHOURY MD"</f>
        <v>NAJI EL-KHOURY MD</v>
      </c>
    </row>
    <row r="402" spans="1:3">
      <c r="A402" t="str">
        <f>"1063479939"</f>
        <v>1063479939</v>
      </c>
      <c r="B402" t="str">
        <f>" NASRI GHALY"</f>
        <v xml:space="preserve"> NASRI GHALY</v>
      </c>
      <c r="C402" t="s">
        <v>3</v>
      </c>
    </row>
    <row r="403" spans="1:3">
      <c r="A403" t="str">
        <f>"1346357084"</f>
        <v>1346357084</v>
      </c>
      <c r="B403" t="str">
        <f>" NATHAN KEEVER"</f>
        <v xml:space="preserve"> NATHAN KEEVER</v>
      </c>
      <c r="C403" t="str">
        <f>"NATHAN KEEVER"</f>
        <v>NATHAN KEEVER</v>
      </c>
    </row>
    <row r="404" spans="1:3">
      <c r="A404" t="str">
        <f>"1336281823"</f>
        <v>1336281823</v>
      </c>
      <c r="B404" t="str">
        <f>" NEEL SHAH"</f>
        <v xml:space="preserve"> NEEL SHAH</v>
      </c>
      <c r="C404" t="str">
        <f>"SAMARITAN FAMILY HEALTH CENTER"</f>
        <v>SAMARITAN FAMILY HEALTH CENTER</v>
      </c>
    </row>
    <row r="405" spans="1:3">
      <c r="A405" t="str">
        <f>"1437198520"</f>
        <v>1437198520</v>
      </c>
      <c r="B405" t="str">
        <f>" NEIL ACKERMAN"</f>
        <v xml:space="preserve"> NEIL ACKERMAN</v>
      </c>
      <c r="C405" t="str">
        <f>"SUMMIT PEDIATRICS"</f>
        <v>SUMMIT PEDIATRICS</v>
      </c>
    </row>
    <row r="406" spans="1:3">
      <c r="A406" t="str">
        <f>"1285753954"</f>
        <v>1285753954</v>
      </c>
      <c r="B406" t="str">
        <f>" NICOLE PITZER"</f>
        <v xml:space="preserve"> NICOLE PITZER</v>
      </c>
      <c r="C406" t="s">
        <v>21</v>
      </c>
    </row>
    <row r="407" spans="1:3">
      <c r="A407" t="str">
        <f>"1396851119"</f>
        <v>1396851119</v>
      </c>
      <c r="B407" t="str">
        <f>" NICOLETTA TALLANDINI-COTRONEA"</f>
        <v xml:space="preserve"> NICOLETTA TALLANDINI-COTRONEA</v>
      </c>
      <c r="C407" t="str">
        <f>"Mohawk Glen Family Practice"</f>
        <v>Mohawk Glen Family Practice</v>
      </c>
    </row>
    <row r="408" spans="1:3">
      <c r="A408" t="str">
        <f>"1982667077"</f>
        <v>1982667077</v>
      </c>
      <c r="B408" t="str">
        <f>" NIMESH DESAI"</f>
        <v xml:space="preserve"> NIMESH DESAI</v>
      </c>
      <c r="C408" t="str">
        <f>"Massena Memorial Hospital"</f>
        <v>Massena Memorial Hospital</v>
      </c>
    </row>
    <row r="409" spans="1:3">
      <c r="A409" t="str">
        <f>"1548256399"</f>
        <v>1548256399</v>
      </c>
      <c r="B409" t="str">
        <f>" NIRANJAN SELVARAJAH"</f>
        <v xml:space="preserve"> NIRANJAN SELVARAJAH</v>
      </c>
      <c r="C409" t="str">
        <f>"Slocum-Dickson Medical Group"</f>
        <v>Slocum-Dickson Medical Group</v>
      </c>
    </row>
    <row r="410" spans="1:3">
      <c r="A410" t="str">
        <f>"1689652174"</f>
        <v>1689652174</v>
      </c>
      <c r="B410" t="str">
        <f>" NITA STORMANN"</f>
        <v xml:space="preserve"> NITA STORMANN</v>
      </c>
      <c r="C410" t="str">
        <f>"FAMILY HEALTH NETWORK"</f>
        <v>FAMILY HEALTH NETWORK</v>
      </c>
    </row>
    <row r="411" spans="1:3">
      <c r="A411" t="str">
        <f>"1942299292"</f>
        <v>1942299292</v>
      </c>
      <c r="B411" t="str">
        <f>" OLEG DULKIN"</f>
        <v xml:space="preserve"> OLEG DULKIN</v>
      </c>
      <c r="C411" t="str">
        <f>"St. Elizabeth Medical Center"</f>
        <v>St. Elizabeth Medical Center</v>
      </c>
    </row>
    <row r="412" spans="1:3">
      <c r="A412" t="str">
        <f>"1023275161"</f>
        <v>1023275161</v>
      </c>
      <c r="B412" t="str">
        <f>" PARUL SAXENA"</f>
        <v xml:space="preserve"> PARUL SAXENA</v>
      </c>
      <c r="C412" t="str">
        <f>"PARUL SAXENA"</f>
        <v>PARUL SAXENA</v>
      </c>
    </row>
    <row r="413" spans="1:3">
      <c r="A413" t="str">
        <f>"1306830419"</f>
        <v>1306830419</v>
      </c>
      <c r="B413" t="str">
        <f>" PATRICIA CHAPMAN"</f>
        <v xml:space="preserve"> PATRICIA CHAPMAN</v>
      </c>
      <c r="C413" t="str">
        <f>"PULASKI HEALTH CENTER NORTHERN OSWEGO COUNTY HEALTH SERVICES INC"</f>
        <v>PULASKI HEALTH CENTER NORTHERN OSWEGO COUNTY HEALTH SERVICES INC</v>
      </c>
    </row>
    <row r="414" spans="1:3">
      <c r="A414" t="str">
        <f>"1255527438"</f>
        <v>1255527438</v>
      </c>
      <c r="B414" t="str">
        <f>" PATRICIA GORMAN"</f>
        <v xml:space="preserve"> PATRICIA GORMAN</v>
      </c>
      <c r="C414" t="str">
        <f>"PATRICIA GORMAN"</f>
        <v>PATRICIA GORMAN</v>
      </c>
    </row>
    <row r="415" spans="1:3">
      <c r="A415" t="str">
        <f>"1912909870"</f>
        <v>1912909870</v>
      </c>
      <c r="B415" t="str">
        <f>" PATRICIA MARRELLO"</f>
        <v xml:space="preserve"> PATRICIA MARRELLO</v>
      </c>
      <c r="C415" t="str">
        <f>"PATRICIA MARRELLO"</f>
        <v>PATRICIA MARRELLO</v>
      </c>
    </row>
    <row r="416" spans="1:3">
      <c r="A416" t="str">
        <f>"1821082009"</f>
        <v>1821082009</v>
      </c>
      <c r="B416" t="str">
        <f>" PATRICK CARGUELLO"</f>
        <v xml:space="preserve"> PATRICK CARGUELLO</v>
      </c>
      <c r="C416" t="str">
        <f>"PULASKI HEALTH CENTER NORTHERN OSWEGO COUNTY HEALTH SERVICES INC"</f>
        <v>PULASKI HEALTH CENTER NORTHERN OSWEGO COUNTY HEALTH SERVICES INC</v>
      </c>
    </row>
    <row r="417" spans="1:3">
      <c r="A417" t="str">
        <f>"1962490656"</f>
        <v>1962490656</v>
      </c>
      <c r="B417" t="str">
        <f>" PAUL COHEN"</f>
        <v xml:space="preserve"> PAUL COHEN</v>
      </c>
      <c r="C417" t="str">
        <f>"PAUL COHEN"</f>
        <v>PAUL COHEN</v>
      </c>
    </row>
    <row r="418" spans="1:3">
      <c r="A418" t="str">
        <f>"1497774749"</f>
        <v>1497774749</v>
      </c>
      <c r="B418" t="str">
        <f>" PAUL FULLER JR"</f>
        <v xml:space="preserve"> PAUL FULLER JR</v>
      </c>
      <c r="C418" t="str">
        <f>"UNIVERSITY OB/GYN ASSOCIATES INC"</f>
        <v>UNIVERSITY OB/GYN ASSOCIATES INC</v>
      </c>
    </row>
    <row r="419" spans="1:3">
      <c r="A419" t="str">
        <f>"1952392904"</f>
        <v>1952392904</v>
      </c>
      <c r="B419" t="str">
        <f>" PAULA VECCHIO"</f>
        <v xml:space="preserve"> PAULA VECCHIO</v>
      </c>
      <c r="C419" t="str">
        <f>"ST. ELIZABETH MEDICAL GROUP"</f>
        <v>ST. ELIZABETH MEDICAL GROUP</v>
      </c>
    </row>
    <row r="420" spans="1:3">
      <c r="A420" t="str">
        <f>"1316926397"</f>
        <v>1316926397</v>
      </c>
      <c r="B420" t="str">
        <f>" PEER SODERBERG"</f>
        <v xml:space="preserve"> PEER SODERBERG</v>
      </c>
      <c r="C420" t="s">
        <v>3</v>
      </c>
    </row>
    <row r="421" spans="1:3">
      <c r="A421" t="str">
        <f>"1467459784"</f>
        <v>1467459784</v>
      </c>
      <c r="B421" t="str">
        <f>" PETER CALUWE"</f>
        <v xml:space="preserve"> PETER CALUWE</v>
      </c>
      <c r="C421" t="str">
        <f>"CROUSE PROMPTCARE"</f>
        <v>CROUSE PROMPTCARE</v>
      </c>
    </row>
    <row r="422" spans="1:3">
      <c r="A422" t="str">
        <f>"1144260928"</f>
        <v>1144260928</v>
      </c>
      <c r="B422" t="str">
        <f>" PETER J. CRONKRIGHT"</f>
        <v xml:space="preserve"> PETER J. CRONKRIGHT</v>
      </c>
      <c r="C422" t="str">
        <f>"UNIVERSITY OB/GYN ASSOCIATES INC"</f>
        <v>UNIVERSITY OB/GYN ASSOCIATES INC</v>
      </c>
    </row>
    <row r="423" spans="1:3">
      <c r="A423" t="str">
        <f>"1336128941"</f>
        <v>1336128941</v>
      </c>
      <c r="B423" t="str">
        <f>" PETER SCHKLAIR"</f>
        <v xml:space="preserve"> PETER SCHKLAIR</v>
      </c>
      <c r="C423" t="str">
        <f>"FAXTON-ST LUKE'S HLTHCARE (LUKE CAM)"</f>
        <v>FAXTON-ST LUKE'S HLTHCARE (LUKE CAM)</v>
      </c>
    </row>
    <row r="424" spans="1:3">
      <c r="A424" t="str">
        <f>"1679987143"</f>
        <v>1679987143</v>
      </c>
      <c r="B424" t="str">
        <f>" PHILLIP CICCO"</f>
        <v xml:space="preserve"> PHILLIP CICCO</v>
      </c>
      <c r="C424" t="str">
        <f>"CROUSE HEALTH HOSPITAL"</f>
        <v>CROUSE HEALTH HOSPITAL</v>
      </c>
    </row>
    <row r="425" spans="1:3">
      <c r="A425" t="str">
        <f>"1689635450"</f>
        <v>1689635450</v>
      </c>
      <c r="B425" t="str">
        <f>" PHILLIP GIOIA"</f>
        <v xml:space="preserve"> PHILLIP GIOIA</v>
      </c>
      <c r="C425" t="str">
        <f>"PHILLIP GIOIA"</f>
        <v>PHILLIP GIOIA</v>
      </c>
    </row>
    <row r="426" spans="1:3">
      <c r="A426" t="str">
        <f>"1962465377"</f>
        <v>1962465377</v>
      </c>
      <c r="B426" t="str">
        <f>" PHYLLIS BAZEN"</f>
        <v xml:space="preserve"> PHYLLIS BAZEN</v>
      </c>
      <c r="C426" t="str">
        <f>"UPSTATE MEDICAL ANESTHESIOLOGY GROUP"</f>
        <v>UPSTATE MEDICAL ANESTHESIOLOGY GROUP</v>
      </c>
    </row>
    <row r="427" spans="1:3">
      <c r="A427" t="str">
        <f>"1780678995"</f>
        <v>1780678995</v>
      </c>
      <c r="B427" t="str">
        <f>" POURUSHASP DHABHAR"</f>
        <v xml:space="preserve"> POURUSHASP DHABHAR</v>
      </c>
      <c r="C427" t="str">
        <f>"CELESTA HUNSIKER"</f>
        <v>CELESTA HUNSIKER</v>
      </c>
    </row>
    <row r="428" spans="1:3">
      <c r="A428" t="str">
        <f>"1700952355"</f>
        <v>1700952355</v>
      </c>
      <c r="B428" t="str">
        <f>" PRISCILLA GARLOCK"</f>
        <v xml:space="preserve"> PRISCILLA GARLOCK</v>
      </c>
      <c r="C428" t="str">
        <f>"PRISCILLA GARLOCK"</f>
        <v>PRISCILLA GARLOCK</v>
      </c>
    </row>
    <row r="429" spans="1:3">
      <c r="A429" t="str">
        <f>"1447273396"</f>
        <v>1447273396</v>
      </c>
      <c r="B429" t="str">
        <f>" PURNACHANDRA POPURI"</f>
        <v xml:space="preserve"> PURNACHANDRA POPURI</v>
      </c>
      <c r="C429" t="str">
        <f>"PURNACHANDRA R POPURI MD"</f>
        <v>PURNACHANDRA R POPURI MD</v>
      </c>
    </row>
    <row r="430" spans="1:3">
      <c r="A430" t="str">
        <f>"1023111879"</f>
        <v>1023111879</v>
      </c>
      <c r="B430" t="str">
        <f>" QUAZI ISLAM"</f>
        <v xml:space="preserve"> QUAZI ISLAM</v>
      </c>
      <c r="C430" t="s">
        <v>35</v>
      </c>
    </row>
    <row r="431" spans="1:3">
      <c r="A431" t="str">
        <f>"1568480903"</f>
        <v>1568480903</v>
      </c>
      <c r="B431" t="str">
        <f>" R EUGENE BAILEY"</f>
        <v xml:space="preserve"> R EUGENE BAILEY</v>
      </c>
      <c r="C431" t="str">
        <f>"Christian Health Services of Syracuse"</f>
        <v>Christian Health Services of Syracuse</v>
      </c>
    </row>
    <row r="432" spans="1:3">
      <c r="A432" t="str">
        <f>"1427144534"</f>
        <v>1427144534</v>
      </c>
      <c r="B432" t="str">
        <f>" RACHAEL PHELPS"</f>
        <v xml:space="preserve"> RACHAEL PHELPS</v>
      </c>
      <c r="C432" t="str">
        <f>"Planned Parenthood"</f>
        <v>Planned Parenthood</v>
      </c>
    </row>
    <row r="433" spans="1:3">
      <c r="A433" t="str">
        <f>"1073819470"</f>
        <v>1073819470</v>
      </c>
      <c r="B433" t="str">
        <f>" RACHEL GOLDBERG"</f>
        <v xml:space="preserve"> RACHEL GOLDBERG</v>
      </c>
      <c r="C433" t="str">
        <f>"FAMILY CARE MEDICAL GROUP"</f>
        <v>FAMILY CARE MEDICAL GROUP</v>
      </c>
    </row>
    <row r="434" spans="1:3">
      <c r="A434" t="str">
        <f>"1871772376"</f>
        <v>1871772376</v>
      </c>
      <c r="B434" t="str">
        <f>" RACHEL LACELLE"</f>
        <v xml:space="preserve"> RACHEL LACELLE</v>
      </c>
      <c r="C434" t="str">
        <f>"ST. ELIZABETH MEDICAL GROUP"</f>
        <v>ST. ELIZABETH MEDICAL GROUP</v>
      </c>
    </row>
    <row r="435" spans="1:3">
      <c r="A435" t="str">
        <f>"1710175336"</f>
        <v>1710175336</v>
      </c>
      <c r="B435" t="str">
        <f>" RAELYNN KILLIAN"</f>
        <v xml:space="preserve"> RAELYNN KILLIAN</v>
      </c>
      <c r="C435" t="str">
        <f>"ST JOSEPHS MEDICAL PC"</f>
        <v>ST JOSEPHS MEDICAL PC</v>
      </c>
    </row>
    <row r="436" spans="1:3">
      <c r="A436" t="str">
        <f>"1770743932"</f>
        <v>1770743932</v>
      </c>
      <c r="B436" t="str">
        <f>" RANDOLPH SNOW"</f>
        <v xml:space="preserve"> RANDOLPH SNOW</v>
      </c>
      <c r="C436" t="str">
        <f>"Kidney and Hypertension Consultants"</f>
        <v>Kidney and Hypertension Consultants</v>
      </c>
    </row>
    <row r="437" spans="1:3">
      <c r="A437" t="str">
        <f>"1215929658"</f>
        <v>1215929658</v>
      </c>
      <c r="B437" t="str">
        <f>" RATNAKUMAR NEWTON"</f>
        <v xml:space="preserve"> RATNAKUMAR NEWTON</v>
      </c>
      <c r="C437" t="str">
        <f>"United Nation Health Services"</f>
        <v>United Nation Health Services</v>
      </c>
    </row>
    <row r="438" spans="1:3">
      <c r="A438" t="str">
        <f>"1053672261"</f>
        <v>1053672261</v>
      </c>
      <c r="B438" t="str">
        <f>" REBECCA DOTTOLO"</f>
        <v xml:space="preserve"> REBECCA DOTTOLO</v>
      </c>
      <c r="C438" t="s">
        <v>36</v>
      </c>
    </row>
    <row r="439" spans="1:3">
      <c r="A439" t="str">
        <f>"1245634989"</f>
        <v>1245634989</v>
      </c>
      <c r="B439" t="str">
        <f>" REBECCA FRIEMANN"</f>
        <v xml:space="preserve"> REBECCA FRIEMANN</v>
      </c>
      <c r="C439" t="str">
        <f>"ROME MEDICAL GROUP"</f>
        <v>ROME MEDICAL GROUP</v>
      </c>
    </row>
    <row r="440" spans="1:3">
      <c r="A440" t="str">
        <f>"1447222773"</f>
        <v>1447222773</v>
      </c>
      <c r="B440" t="str">
        <f>" REBECCA SALERNO MOSHER"</f>
        <v xml:space="preserve"> REBECCA SALERNO MOSHER</v>
      </c>
      <c r="C440" t="str">
        <f>"CATTARAUGUS INDIAN RESERVATION HELATH CENTER"</f>
        <v>CATTARAUGUS INDIAN RESERVATION HELATH CENTER</v>
      </c>
    </row>
    <row r="441" spans="1:3">
      <c r="A441" t="str">
        <f>"1861485849"</f>
        <v>1861485849</v>
      </c>
      <c r="B441" t="str">
        <f>" RENANTE IGNACIO"</f>
        <v xml:space="preserve"> RENANTE IGNACIO</v>
      </c>
      <c r="C441" t="str">
        <f>"ENDOCRINE ASSOCIATES OF OSWEGO"</f>
        <v>ENDOCRINE ASSOCIATES OF OSWEGO</v>
      </c>
    </row>
    <row r="442" spans="1:3">
      <c r="A442" t="str">
        <f>"1386811545"</f>
        <v>1386811545</v>
      </c>
      <c r="B442" t="str">
        <f>" RENEE RYAN"</f>
        <v xml:space="preserve"> RENEE RYAN</v>
      </c>
      <c r="C442" t="str">
        <f>"CENTRAL SQUARE URGENT CARE"</f>
        <v>CENTRAL SQUARE URGENT CARE</v>
      </c>
    </row>
    <row r="443" spans="1:3">
      <c r="A443" t="str">
        <f>"1093974511"</f>
        <v>1093974511</v>
      </c>
      <c r="B443" t="str">
        <f>" REO PENISTON"</f>
        <v xml:space="preserve"> REO PENISTON</v>
      </c>
      <c r="C443" t="str">
        <f>"KRISTEN"</f>
        <v>KRISTEN</v>
      </c>
    </row>
    <row r="444" spans="1:3">
      <c r="A444" t="str">
        <f>"1902833866"</f>
        <v>1902833866</v>
      </c>
      <c r="B444" t="str">
        <f>" RESTITUTO ACOSTA"</f>
        <v xml:space="preserve"> RESTITUTO ACOSTA</v>
      </c>
      <c r="C444" t="s">
        <v>37</v>
      </c>
    </row>
    <row r="445" spans="1:3">
      <c r="A445" t="str">
        <f>"1396734794"</f>
        <v>1396734794</v>
      </c>
      <c r="B445" t="str">
        <f>" RICHARD CHMIELEWSKI"</f>
        <v xml:space="preserve"> RICHARD CHMIELEWSKI</v>
      </c>
      <c r="C445" t="str">
        <f>"SITRIN MEDICAL REHABILITATION CENTER"</f>
        <v>SITRIN MEDICAL REHABILITATION CENTER</v>
      </c>
    </row>
    <row r="446" spans="1:3">
      <c r="A446" t="str">
        <f>"1497831663"</f>
        <v>1497831663</v>
      </c>
      <c r="B446" t="str">
        <f>" RICHARD FINCH"</f>
        <v xml:space="preserve"> RICHARD FINCH</v>
      </c>
      <c r="C446" t="str">
        <f>"RICHARD FINCH"</f>
        <v>RICHARD FINCH</v>
      </c>
    </row>
    <row r="447" spans="1:3">
      <c r="A447" t="str">
        <f>"1073575023"</f>
        <v>1073575023</v>
      </c>
      <c r="B447" t="str">
        <f>" RICHARD KOEHLER"</f>
        <v xml:space="preserve"> RICHARD KOEHLER</v>
      </c>
      <c r="C447" t="str">
        <f>"  FSLHC EMERGENCY DEPARTMENT"</f>
        <v xml:space="preserve">  FSLHC EMERGENCY DEPARTMENT</v>
      </c>
    </row>
    <row r="448" spans="1:3">
      <c r="A448" t="str">
        <f>"1730186503"</f>
        <v>1730186503</v>
      </c>
      <c r="B448" t="str">
        <f>" RICHARD STEINMANN"</f>
        <v xml:space="preserve"> RICHARD STEINMANN</v>
      </c>
      <c r="C448" t="str">
        <f>"Crouse Hospital"</f>
        <v>Crouse Hospital</v>
      </c>
    </row>
    <row r="449" spans="1:3">
      <c r="A449" t="str">
        <f>"1982042370"</f>
        <v>1982042370</v>
      </c>
      <c r="B449" t="str">
        <f>" RITA CURRAN"</f>
        <v xml:space="preserve"> RITA CURRAN</v>
      </c>
      <c r="C449" t="str">
        <f>"CAYUGA MEDICAL CENTER"</f>
        <v>CAYUGA MEDICAL CENTER</v>
      </c>
    </row>
    <row r="450" spans="1:3">
      <c r="A450" t="str">
        <f>"1629044987"</f>
        <v>1629044987</v>
      </c>
      <c r="B450" t="str">
        <f>" ROBERT BURKE"</f>
        <v xml:space="preserve"> ROBERT BURKE</v>
      </c>
      <c r="C450" t="s">
        <v>38</v>
      </c>
    </row>
    <row r="451" spans="1:3">
      <c r="A451" t="str">
        <f>"1194831610"</f>
        <v>1194831610</v>
      </c>
      <c r="B451" t="str">
        <f>" ROBERT CASTELLANOS"</f>
        <v xml:space="preserve"> ROBERT CASTELLANOS</v>
      </c>
      <c r="C451" t="str">
        <f>"FAMILY PRACTICE OF CORTLAND"</f>
        <v>FAMILY PRACTICE OF CORTLAND</v>
      </c>
    </row>
    <row r="452" spans="1:3">
      <c r="A452" t="str">
        <f>"1003982836"</f>
        <v>1003982836</v>
      </c>
      <c r="B452" t="str">
        <f>" ROBERT CHRUSCICKI"</f>
        <v xml:space="preserve"> ROBERT CHRUSCICKI</v>
      </c>
      <c r="C452" t="str">
        <f>"ROBERT CHRUSCICKI"</f>
        <v>ROBERT CHRUSCICKI</v>
      </c>
    </row>
    <row r="453" spans="1:3">
      <c r="A453" t="str">
        <f>"1508965484"</f>
        <v>1508965484</v>
      </c>
      <c r="B453" t="str">
        <f>" ROBERT FELDMAN"</f>
        <v xml:space="preserve"> ROBERT FELDMAN</v>
      </c>
      <c r="C453" t="str">
        <f>"St. Joseph's Medical PC"</f>
        <v>St. Joseph's Medical PC</v>
      </c>
    </row>
    <row r="454" spans="1:3">
      <c r="A454" t="str">
        <f>"1700810678"</f>
        <v>1700810678</v>
      </c>
      <c r="B454" t="str">
        <f>" ROBERT FRIEDMAN"</f>
        <v xml:space="preserve"> ROBERT FRIEDMAN</v>
      </c>
      <c r="C454" t="str">
        <f>"ONEIDA HEALTH CARE CENTER"</f>
        <v>ONEIDA HEALTH CARE CENTER</v>
      </c>
    </row>
    <row r="455" spans="1:3">
      <c r="A455" t="str">
        <f>"1730494238"</f>
        <v>1730494238</v>
      </c>
      <c r="B455" t="str">
        <f>" ROBERT MARSH JR"</f>
        <v xml:space="preserve"> ROBERT MARSH JR</v>
      </c>
      <c r="C455" t="str">
        <f>"St. Elizabeth Medical Center"</f>
        <v>St. Elizabeth Medical Center</v>
      </c>
    </row>
    <row r="456" spans="1:3">
      <c r="A456" t="str">
        <f>"1891721957"</f>
        <v>1891721957</v>
      </c>
      <c r="B456" t="str">
        <f>" ROBERT MORGAN"</f>
        <v xml:space="preserve"> ROBERT MORGAN</v>
      </c>
      <c r="C456" t="s">
        <v>19</v>
      </c>
    </row>
    <row r="457" spans="1:3">
      <c r="A457" t="str">
        <f>"1467733550"</f>
        <v>1467733550</v>
      </c>
      <c r="B457" t="str">
        <f>" ROBERT SHARPE"</f>
        <v xml:space="preserve"> ROBERT SHARPE</v>
      </c>
      <c r="C457" t="str">
        <f>"ROBERT SHARPE"</f>
        <v>ROBERT SHARPE</v>
      </c>
    </row>
    <row r="458" spans="1:3">
      <c r="A458" t="str">
        <f>"1215964051"</f>
        <v>1215964051</v>
      </c>
      <c r="B458" t="str">
        <f>" ROBERT WESTLAKE JR"</f>
        <v xml:space="preserve"> ROBERT WESTLAKE JR</v>
      </c>
      <c r="C458" t="s">
        <v>3</v>
      </c>
    </row>
    <row r="459" spans="1:3">
      <c r="A459" t="str">
        <f>"1679515423"</f>
        <v>1679515423</v>
      </c>
      <c r="B459" t="str">
        <f>" RODNEY RICHMOND"</f>
        <v xml:space="preserve"> RODNEY RICHMOND</v>
      </c>
      <c r="C459" t="s">
        <v>36</v>
      </c>
    </row>
    <row r="460" spans="1:3">
      <c r="A460" t="str">
        <f>"1891782942"</f>
        <v>1891782942</v>
      </c>
      <c r="B460" t="str">
        <f>" ROGER BRESLOW"</f>
        <v xml:space="preserve"> ROGER BRESLOW</v>
      </c>
      <c r="C460" t="str">
        <f>"CELESTA HUNSIKER"</f>
        <v>CELESTA HUNSIKER</v>
      </c>
    </row>
    <row r="461" spans="1:3">
      <c r="A461" t="str">
        <f>"1164410304"</f>
        <v>1164410304</v>
      </c>
      <c r="B461" t="str">
        <f>" ROGER NORTON"</f>
        <v xml:space="preserve"> ROGER NORTON</v>
      </c>
      <c r="C461" t="str">
        <f>"CELESTA HUNSIKER"</f>
        <v>CELESTA HUNSIKER</v>
      </c>
    </row>
    <row r="462" spans="1:3">
      <c r="A462" t="str">
        <f>"1508804162"</f>
        <v>1508804162</v>
      </c>
      <c r="B462" t="str">
        <f>" ROSE ECHERUO"</f>
        <v xml:space="preserve"> ROSE ECHERUO</v>
      </c>
      <c r="C462" t="str">
        <f>"ROSE ECHERUO"</f>
        <v>ROSE ECHERUO</v>
      </c>
    </row>
    <row r="463" spans="1:3">
      <c r="A463" t="str">
        <f>"1285040774"</f>
        <v>1285040774</v>
      </c>
      <c r="B463" t="str">
        <f>" ROSEANNE RYAN"</f>
        <v xml:space="preserve"> ROSEANNE RYAN</v>
      </c>
      <c r="C463" t="str">
        <f>"PRIMARY CARE CENTER- WEST"</f>
        <v>PRIMARY CARE CENTER- WEST</v>
      </c>
    </row>
    <row r="464" spans="1:3">
      <c r="A464" t="str">
        <f>"1235129933"</f>
        <v>1235129933</v>
      </c>
      <c r="B464" t="str">
        <f>" ROY SMITH"</f>
        <v xml:space="preserve"> ROY SMITH</v>
      </c>
      <c r="C464" t="str">
        <f>"SYRACUSE COMMUNITY HEALTH CENTER"</f>
        <v>SYRACUSE COMMUNITY HEALTH CENTER</v>
      </c>
    </row>
    <row r="465" spans="1:3">
      <c r="A465" t="str">
        <f>"1710183405"</f>
        <v>1710183405</v>
      </c>
      <c r="B465" t="str">
        <f>" ROZEENA AYAZ"</f>
        <v xml:space="preserve"> ROZEENA AYAZ</v>
      </c>
      <c r="C465" t="s">
        <v>38</v>
      </c>
    </row>
    <row r="466" spans="1:3">
      <c r="A466" t="str">
        <f>"1689087140"</f>
        <v>1689087140</v>
      </c>
      <c r="B466" t="str">
        <f>" RYAN MAZZONE"</f>
        <v xml:space="preserve"> RYAN MAZZONE</v>
      </c>
      <c r="C466" t="str">
        <f>"CPH Eye Care Center"</f>
        <v>CPH Eye Care Center</v>
      </c>
    </row>
    <row r="467" spans="1:3">
      <c r="A467" t="str">
        <f>"1336198639"</f>
        <v>1336198639</v>
      </c>
      <c r="B467" t="str">
        <f>" RYAN TYLER"</f>
        <v xml:space="preserve"> RYAN TYLER</v>
      </c>
      <c r="C467" t="str">
        <f>"SAMARITAN FAMILY HEALTH CENTER"</f>
        <v>SAMARITAN FAMILY HEALTH CENTER</v>
      </c>
    </row>
    <row r="468" spans="1:3">
      <c r="A468" t="str">
        <f>"1316041551"</f>
        <v>1316041551</v>
      </c>
      <c r="B468" t="str">
        <f>" SALIL GUPTA"</f>
        <v xml:space="preserve"> SALIL GUPTA</v>
      </c>
      <c r="C468" t="str">
        <f>"NEPHROLOGY HYPERTENSION ASSOCIATES OF CNY PC"</f>
        <v>NEPHROLOGY HYPERTENSION ASSOCIATES OF CNY PC</v>
      </c>
    </row>
    <row r="469" spans="1:3">
      <c r="A469" t="str">
        <f>"1437316304"</f>
        <v>1437316304</v>
      </c>
      <c r="B469" t="str">
        <f>" SAM BENJAMIN"</f>
        <v xml:space="preserve"> SAM BENJAMIN</v>
      </c>
      <c r="C469" t="str">
        <f>"UNIVERSITY PHYSICIANS - OSWEGO"</f>
        <v>UNIVERSITY PHYSICIANS - OSWEGO</v>
      </c>
    </row>
    <row r="470" spans="1:3">
      <c r="A470" t="str">
        <f>"1891835658"</f>
        <v>1891835658</v>
      </c>
      <c r="B470" t="str">
        <f>" SAMI ABDUL-MALAK"</f>
        <v xml:space="preserve"> SAMI ABDUL-MALAK</v>
      </c>
      <c r="C470" t="str">
        <f>"CROUSE PROMPTCARE"</f>
        <v>CROUSE PROMPTCARE</v>
      </c>
    </row>
    <row r="471" spans="1:3">
      <c r="A471" t="str">
        <f>"1255392650"</f>
        <v>1255392650</v>
      </c>
      <c r="B471" t="str">
        <f>" SAMUEL PARIS"</f>
        <v xml:space="preserve"> SAMUEL PARIS</v>
      </c>
      <c r="C471" t="str">
        <f>"ST JOSEPH'S MEDICAL PC"</f>
        <v>ST JOSEPH'S MEDICAL PC</v>
      </c>
    </row>
    <row r="472" spans="1:3">
      <c r="A472" t="str">
        <f>"1538198148"</f>
        <v>1538198148</v>
      </c>
      <c r="B472" t="str">
        <f>" SANTOS GONZALES"</f>
        <v xml:space="preserve"> SANTOS GONZALES</v>
      </c>
      <c r="C472" t="str">
        <f>"EMERGENCY PHYSICIAN SERVICES OF NY PC"</f>
        <v>EMERGENCY PHYSICIAN SERVICES OF NY PC</v>
      </c>
    </row>
    <row r="473" spans="1:3">
      <c r="A473" t="str">
        <f>"1285877431"</f>
        <v>1285877431</v>
      </c>
      <c r="B473" t="str">
        <f>" SARAH LAPPIN"</f>
        <v xml:space="preserve"> SARAH LAPPIN</v>
      </c>
      <c r="C473" t="str">
        <f>"SARAH LAPPIN"</f>
        <v>SARAH LAPPIN</v>
      </c>
    </row>
    <row r="474" spans="1:3">
      <c r="A474" t="str">
        <f>"1609824481"</f>
        <v>1609824481</v>
      </c>
      <c r="B474" t="str">
        <f>" SARGON BEBLA"</f>
        <v xml:space="preserve"> SARGON BEBLA</v>
      </c>
      <c r="C474" t="str">
        <f>"SARGON BEBLA MD PC"</f>
        <v>SARGON BEBLA MD PC</v>
      </c>
    </row>
    <row r="475" spans="1:3">
      <c r="A475" t="str">
        <f>"1629238886"</f>
        <v>1629238886</v>
      </c>
      <c r="B475" t="str">
        <f>" SATISH GEDELA"</f>
        <v xml:space="preserve"> SATISH GEDELA</v>
      </c>
      <c r="C475" t="str">
        <f>"FAXTON-ST LUKE'S HLTHCARE (LUKE CAM)"</f>
        <v>FAXTON-ST LUKE'S HLTHCARE (LUKE CAM)</v>
      </c>
    </row>
    <row r="476" spans="1:3">
      <c r="A476" t="str">
        <f>"1265410864"</f>
        <v>1265410864</v>
      </c>
      <c r="B476" t="str">
        <f>" SCOT KOLSIN"</f>
        <v xml:space="preserve"> SCOT KOLSIN</v>
      </c>
      <c r="C476" t="str">
        <f>"LIFECARE"</f>
        <v>LIFECARE</v>
      </c>
    </row>
    <row r="477" spans="1:3">
      <c r="A477" t="str">
        <f>"1700177417"</f>
        <v>1700177417</v>
      </c>
      <c r="B477" t="str">
        <f>" SCOTT ALLAN"</f>
        <v xml:space="preserve"> SCOTT ALLAN</v>
      </c>
      <c r="C477" t="str">
        <f>"St. Joseph's Physicians Urgent Care"</f>
        <v>St. Joseph's Physicians Urgent Care</v>
      </c>
    </row>
    <row r="478" spans="1:3">
      <c r="A478" t="str">
        <f>"1023102142"</f>
        <v>1023102142</v>
      </c>
      <c r="B478" t="str">
        <f>" SCOTT FLASHNER"</f>
        <v xml:space="preserve"> SCOTT FLASHNER</v>
      </c>
      <c r="C478" t="str">
        <f>"SCOTT FLASHNER"</f>
        <v>SCOTT FLASHNER</v>
      </c>
    </row>
    <row r="479" spans="1:3">
      <c r="A479" t="str">
        <f>"1376504753"</f>
        <v>1376504753</v>
      </c>
      <c r="B479" t="str">
        <f>" SCOTT STERN"</f>
        <v xml:space="preserve"> SCOTT STERN</v>
      </c>
      <c r="C479" t="str">
        <f>"OSWEGO HEALTH CENTER"</f>
        <v>OSWEGO HEALTH CENTER</v>
      </c>
    </row>
    <row r="480" spans="1:3">
      <c r="A480" t="str">
        <f>"1790892644"</f>
        <v>1790892644</v>
      </c>
      <c r="B480" t="str">
        <f>" SCOTT VAN GORDER"</f>
        <v xml:space="preserve"> SCOTT VAN GORDER</v>
      </c>
      <c r="C480" t="str">
        <f>"OSWEGO HEALTH CENTER"</f>
        <v>OSWEGO HEALTH CENTER</v>
      </c>
    </row>
    <row r="481" spans="1:3">
      <c r="A481" t="str">
        <f>"1194770610"</f>
        <v>1194770610</v>
      </c>
      <c r="B481" t="str">
        <f>" SERGEY ZAVILYANSKY"</f>
        <v xml:space="preserve"> SERGEY ZAVILYANSKY</v>
      </c>
      <c r="C481" t="str">
        <f>"CARDIOVASCULAR GROUP OF SYRACUSE"</f>
        <v>CARDIOVASCULAR GROUP OF SYRACUSE</v>
      </c>
    </row>
    <row r="482" spans="1:3">
      <c r="A482" t="str">
        <f>"1992714117"</f>
        <v>1992714117</v>
      </c>
      <c r="B482" t="str">
        <f>" SHAILAJA POTDAR"</f>
        <v xml:space="preserve"> SHAILAJA POTDAR</v>
      </c>
      <c r="C482" t="str">
        <f>"SYRACUSE COMMUNITY HEALTH CENTER"</f>
        <v>SYRACUSE COMMUNITY HEALTH CENTER</v>
      </c>
    </row>
    <row r="483" spans="1:3">
      <c r="A483" t="str">
        <f>"1275715153"</f>
        <v>1275715153</v>
      </c>
      <c r="B483" t="str">
        <f>" SHAKEEL USMANI"</f>
        <v xml:space="preserve"> SHAKEEL USMANI</v>
      </c>
      <c r="C483" t="str">
        <f>"AUBURN COMMUNITY HOSPITAL"</f>
        <v>AUBURN COMMUNITY HOSPITAL</v>
      </c>
    </row>
    <row r="484" spans="1:3">
      <c r="A484" t="str">
        <f>"1265761720"</f>
        <v>1265761720</v>
      </c>
      <c r="B484" t="str">
        <f>" SHALINEE JHA"</f>
        <v xml:space="preserve"> SHALINEE JHA</v>
      </c>
      <c r="C484" t="str">
        <f>"DEPARTMENT OF MEDICINE MSG"</f>
        <v>DEPARTMENT OF MEDICINE MSG</v>
      </c>
    </row>
    <row r="485" spans="1:3">
      <c r="A485" t="str">
        <f>"1518079045"</f>
        <v>1518079045</v>
      </c>
      <c r="B485" t="str">
        <f>" SHARLENE NEMITZ"</f>
        <v xml:space="preserve"> SHARLENE NEMITZ</v>
      </c>
      <c r="C485" t="str">
        <f>"UNIVERSITY OB/GYN ASSOCIATES INC"</f>
        <v>UNIVERSITY OB/GYN ASSOCIATES INC</v>
      </c>
    </row>
    <row r="486" spans="1:3">
      <c r="A486" t="str">
        <f>"1023189818"</f>
        <v>1023189818</v>
      </c>
      <c r="B486" t="str">
        <f>" SHASHANK BHATT"</f>
        <v xml:space="preserve"> SHASHANK BHATT</v>
      </c>
      <c r="C486" t="str">
        <f>"CROUSE HEALTH HOSPITAL"</f>
        <v>CROUSE HEALTH HOSPITAL</v>
      </c>
    </row>
    <row r="487" spans="1:3">
      <c r="A487" t="str">
        <f>"1437224755"</f>
        <v>1437224755</v>
      </c>
      <c r="B487" t="str">
        <f>" SHAWN FAZIO"</f>
        <v xml:space="preserve"> SHAWN FAZIO</v>
      </c>
      <c r="C487" t="str">
        <f>"FAMILY PRACTICE ASSOCIATES"</f>
        <v>FAMILY PRACTICE ASSOCIATES</v>
      </c>
    </row>
    <row r="488" spans="1:3">
      <c r="A488" t="str">
        <f>"1134113343"</f>
        <v>1134113343</v>
      </c>
      <c r="B488" t="str">
        <f>" SHELLY HEARN"</f>
        <v xml:space="preserve"> SHELLY HEARN</v>
      </c>
      <c r="C488" t="str">
        <f>"CELESTA HUNSIKER"</f>
        <v>CELESTA HUNSIKER</v>
      </c>
    </row>
    <row r="489" spans="1:3">
      <c r="A489" t="str">
        <f>"1811223084"</f>
        <v>1811223084</v>
      </c>
      <c r="B489" t="str">
        <f>" SHERRIE BISHOP"</f>
        <v xml:space="preserve"> SHERRIE BISHOP</v>
      </c>
      <c r="C489" t="str">
        <f>"DEPARTMENT OF MEDICINE MED SERVICES @ SUNY HSC"</f>
        <v>DEPARTMENT OF MEDICINE MED SERVICES @ SUNY HSC</v>
      </c>
    </row>
    <row r="490" spans="1:3">
      <c r="A490" t="str">
        <f>"1063518074"</f>
        <v>1063518074</v>
      </c>
      <c r="B490" t="str">
        <f>" SIMARDEEP MANGAT"</f>
        <v xml:space="preserve"> SIMARDEEP MANGAT</v>
      </c>
      <c r="C490" t="str">
        <f>"LAURA MARTIN"</f>
        <v>LAURA MARTIN</v>
      </c>
    </row>
    <row r="491" spans="1:3">
      <c r="A491" t="str">
        <f>"1154648897"</f>
        <v>1154648897</v>
      </c>
      <c r="B491" t="str">
        <f>" SPENCER GORSLINE"</f>
        <v xml:space="preserve"> SPENCER GORSLINE</v>
      </c>
      <c r="C491" t="str">
        <f>"SPENCER GORSLINE"</f>
        <v>SPENCER GORSLINE</v>
      </c>
    </row>
    <row r="492" spans="1:3">
      <c r="A492" t="str">
        <f>"1417954934"</f>
        <v>1417954934</v>
      </c>
      <c r="B492" t="str">
        <f>" STEPHAN ALKINS"</f>
        <v xml:space="preserve"> STEPHAN ALKINS</v>
      </c>
      <c r="C492" t="str">
        <f>"Crouse Hospital"</f>
        <v>Crouse Hospital</v>
      </c>
    </row>
    <row r="493" spans="1:3">
      <c r="A493" t="str">
        <f>"1740254242"</f>
        <v>1740254242</v>
      </c>
      <c r="B493" t="str">
        <f>" STEPHEN HOAG"</f>
        <v xml:space="preserve"> STEPHEN HOAG</v>
      </c>
      <c r="C493" t="str">
        <f>"ST JOSEPH'S MEDICAL PC"</f>
        <v>ST JOSEPH'S MEDICAL PC</v>
      </c>
    </row>
    <row r="494" spans="1:3">
      <c r="A494" t="str">
        <f>"1508859273"</f>
        <v>1508859273</v>
      </c>
      <c r="B494" t="str">
        <f>" STEPHEN HUDYNCIA"</f>
        <v xml:space="preserve"> STEPHEN HUDYNCIA</v>
      </c>
      <c r="C494" t="str">
        <f>"STEPHEN HUDYNCIA"</f>
        <v>STEPHEN HUDYNCIA</v>
      </c>
    </row>
    <row r="495" spans="1:3">
      <c r="A495" t="str">
        <f>"1578554630"</f>
        <v>1578554630</v>
      </c>
      <c r="B495" t="str">
        <f>" STEVEN C. STACEY"</f>
        <v xml:space="preserve"> STEVEN C. STACEY</v>
      </c>
      <c r="C495" t="str">
        <f>"UNIVERSITY HOSPITAL OF SYRACUSE"</f>
        <v>UNIVERSITY HOSPITAL OF SYRACUSE</v>
      </c>
    </row>
    <row r="496" spans="1:3">
      <c r="A496" t="str">
        <f>"1669436341"</f>
        <v>1669436341</v>
      </c>
      <c r="B496" t="str">
        <f>" STEVEN NAPRAWA"</f>
        <v xml:space="preserve"> STEVEN NAPRAWA</v>
      </c>
      <c r="C496" t="str">
        <f>"ST JOSEPH OUTPATIENT BEHAVIORAL HEALTH"</f>
        <v>ST JOSEPH OUTPATIENT BEHAVIORAL HEALTH</v>
      </c>
    </row>
    <row r="497" spans="1:3">
      <c r="A497" t="str">
        <f>"1346584034"</f>
        <v>1346584034</v>
      </c>
      <c r="B497" t="str">
        <f>" SUE STUCKER"</f>
        <v xml:space="preserve"> SUE STUCKER</v>
      </c>
      <c r="C497" t="str">
        <f>"FAMILY CARE MEDICAL GROUP"</f>
        <v>FAMILY CARE MEDICAL GROUP</v>
      </c>
    </row>
    <row r="498" spans="1:3">
      <c r="A498" t="str">
        <f>"1467497503"</f>
        <v>1467497503</v>
      </c>
      <c r="B498" t="str">
        <f>" SUMAN SWARNKAR"</f>
        <v xml:space="preserve"> SUMAN SWARNKAR</v>
      </c>
      <c r="C498" t="str">
        <f>"DEPARTMENT OF MEDICINE - SUNY HSC"</f>
        <v>DEPARTMENT OF MEDICINE - SUNY HSC</v>
      </c>
    </row>
    <row r="499" spans="1:3">
      <c r="A499" t="str">
        <f>"1508043746"</f>
        <v>1508043746</v>
      </c>
      <c r="B499" t="str">
        <f>" SURAIYA AZIZ"</f>
        <v xml:space="preserve"> SURAIYA AZIZ</v>
      </c>
      <c r="C499" t="str">
        <f>"SYRACUSE COMMUNITY HEALTH CENTER"</f>
        <v>SYRACUSE COMMUNITY HEALTH CENTER</v>
      </c>
    </row>
    <row r="500" spans="1:3">
      <c r="A500" t="str">
        <f>"1619064490"</f>
        <v>1619064490</v>
      </c>
      <c r="B500" t="str">
        <f>" SUSAN BLATT"</f>
        <v xml:space="preserve"> SUSAN BLATT</v>
      </c>
      <c r="C500" t="str">
        <f>"SUSAN BLATT"</f>
        <v>SUSAN BLATT</v>
      </c>
    </row>
    <row r="501" spans="1:3">
      <c r="A501" t="str">
        <f>"1962517342"</f>
        <v>1962517342</v>
      </c>
      <c r="B501" t="str">
        <f>" SUSAN HARKINS"</f>
        <v xml:space="preserve"> SUSAN HARKINS</v>
      </c>
      <c r="C501" t="str">
        <f>"CAP MEDICAL GROUP PLLC"</f>
        <v>CAP MEDICAL GROUP PLLC</v>
      </c>
    </row>
    <row r="502" spans="1:3">
      <c r="A502" t="str">
        <f>"1699889949"</f>
        <v>1699889949</v>
      </c>
      <c r="B502" t="str">
        <f>" SUSAN JACKSON"</f>
        <v xml:space="preserve"> SUSAN JACKSON</v>
      </c>
      <c r="C502" t="str">
        <f>"RAOUF KODSKY PHYSICIAN PC"</f>
        <v>RAOUF KODSKY PHYSICIAN PC</v>
      </c>
    </row>
    <row r="503" spans="1:3">
      <c r="A503" t="str">
        <f>"1457314650"</f>
        <v>1457314650</v>
      </c>
      <c r="B503" t="str">
        <f>" SUSAN RANDALL-MANTELLA"</f>
        <v xml:space="preserve"> SUSAN RANDALL-MANTELLA</v>
      </c>
      <c r="C503" t="str">
        <f>"Family Care Medical Group"</f>
        <v>Family Care Medical Group</v>
      </c>
    </row>
    <row r="504" spans="1:3">
      <c r="A504" t="str">
        <f>"1942351192"</f>
        <v>1942351192</v>
      </c>
      <c r="B504" t="str">
        <f>" SUSAN WALKER"</f>
        <v xml:space="preserve"> SUSAN WALKER</v>
      </c>
      <c r="C504" t="str">
        <f>"BRAXTON L. HILLERMAN"</f>
        <v>BRAXTON L. HILLERMAN</v>
      </c>
    </row>
    <row r="505" spans="1:3">
      <c r="A505" t="str">
        <f>"1861704777"</f>
        <v>1861704777</v>
      </c>
      <c r="B505" t="str">
        <f>" SUZANNE COREY"</f>
        <v xml:space="preserve"> SUZANNE COREY</v>
      </c>
      <c r="C505" t="str">
        <f>"SUZANNE COREY"</f>
        <v>SUZANNE COREY</v>
      </c>
    </row>
    <row r="506" spans="1:3">
      <c r="A506" t="str">
        <f>"1306833025"</f>
        <v>1306833025</v>
      </c>
      <c r="B506" t="str">
        <f>" SUZANNE LAMANNA"</f>
        <v xml:space="preserve"> SUZANNE LAMANNA</v>
      </c>
      <c r="C506" t="str">
        <f>"PRACTICE RESOURCES GROUP"</f>
        <v>PRACTICE RESOURCES GROUP</v>
      </c>
    </row>
    <row r="507" spans="1:3">
      <c r="A507" t="str">
        <f>"1306931993"</f>
        <v>1306931993</v>
      </c>
      <c r="B507" t="str">
        <f>" SVETLANA BYKOVICH"</f>
        <v xml:space="preserve"> SVETLANA BYKOVICH</v>
      </c>
      <c r="C507" t="str">
        <f>"New Hartford Medical Office"</f>
        <v>New Hartford Medical Office</v>
      </c>
    </row>
    <row r="508" spans="1:3">
      <c r="A508" t="str">
        <f>"1477696193"</f>
        <v>1477696193</v>
      </c>
      <c r="B508" t="str">
        <f>" SVETLANA SHAH"</f>
        <v xml:space="preserve"> SVETLANA SHAH</v>
      </c>
      <c r="C508" t="str">
        <f>"SAMARITAN MEDICAL PLAZA - OUTPATIENT BEHAVIORAL HE"</f>
        <v>SAMARITAN MEDICAL PLAZA - OUTPATIENT BEHAVIORAL HE</v>
      </c>
    </row>
    <row r="509" spans="1:3">
      <c r="A509" t="str">
        <f>"1770536898"</f>
        <v>1770536898</v>
      </c>
      <c r="B509" t="str">
        <f>" SYLVIA COLEBY"</f>
        <v xml:space="preserve"> SYLVIA COLEBY</v>
      </c>
      <c r="C509" t="str">
        <f>"Whitesboro Medical Clinic"</f>
        <v>Whitesboro Medical Clinic</v>
      </c>
    </row>
    <row r="510" spans="1:3">
      <c r="A510" t="str">
        <f>"1023245313"</f>
        <v>1023245313</v>
      </c>
      <c r="B510" t="str">
        <f>" TANYA GEORGE"</f>
        <v xml:space="preserve"> TANYA GEORGE</v>
      </c>
      <c r="C510" t="str">
        <f>"DEPARTMENT OF MEDICINE - SUNY HSC"</f>
        <v>DEPARTMENT OF MEDICINE - SUNY HSC</v>
      </c>
    </row>
    <row r="511" spans="1:3">
      <c r="A511" t="str">
        <f>"1487965315"</f>
        <v>1487965315</v>
      </c>
      <c r="B511" t="str">
        <f>" TARA JONES"</f>
        <v xml:space="preserve"> TARA JONES</v>
      </c>
      <c r="C511" t="str">
        <f>"BASSETT HEALTHCARE"</f>
        <v>BASSETT HEALTHCARE</v>
      </c>
    </row>
    <row r="512" spans="1:3">
      <c r="A512" t="str">
        <f>"1548215171"</f>
        <v>1548215171</v>
      </c>
      <c r="B512" t="str">
        <f>" TASDUQ FAZILI"</f>
        <v xml:space="preserve"> TASDUQ FAZILI</v>
      </c>
      <c r="C512" t="str">
        <f>"DEPARTMENT OF MEDICINE MSG"</f>
        <v>DEPARTMENT OF MEDICINE MSG</v>
      </c>
    </row>
    <row r="513" spans="1:3">
      <c r="A513" t="str">
        <f>"1588860209"</f>
        <v>1588860209</v>
      </c>
      <c r="B513" t="str">
        <f>" TATYANA MISYULYA"</f>
        <v xml:space="preserve"> TATYANA MISYULYA</v>
      </c>
      <c r="C513" t="str">
        <f>"TATYANA MISYULYA"</f>
        <v>TATYANA MISYULYA</v>
      </c>
    </row>
    <row r="514" spans="1:3">
      <c r="A514" t="str">
        <f>"1902892482"</f>
        <v>1902892482</v>
      </c>
      <c r="B514" t="str">
        <f>" TED TRIANA"</f>
        <v xml:space="preserve"> TED TRIANA</v>
      </c>
      <c r="C514" t="str">
        <f>"FAMILYCARE MEDICAL GROUP"</f>
        <v>FAMILYCARE MEDICAL GROUP</v>
      </c>
    </row>
    <row r="515" spans="1:3">
      <c r="A515" t="str">
        <f>"1699771295"</f>
        <v>1699771295</v>
      </c>
      <c r="B515" t="str">
        <f>" TERESA DOMBEK-LANG"</f>
        <v xml:space="preserve"> TERESA DOMBEK-LANG</v>
      </c>
      <c r="C515" t="str">
        <f>"EDWARD L REASON DO"</f>
        <v>EDWARD L REASON DO</v>
      </c>
    </row>
    <row r="516" spans="1:3">
      <c r="A516" t="str">
        <f>"1033115399"</f>
        <v>1033115399</v>
      </c>
      <c r="B516" t="str">
        <f>" TERESE BARR"</f>
        <v xml:space="preserve"> TERESE BARR</v>
      </c>
      <c r="C516" t="s">
        <v>3</v>
      </c>
    </row>
    <row r="517" spans="1:3">
      <c r="A517" t="str">
        <f>"1508952292"</f>
        <v>1508952292</v>
      </c>
      <c r="B517" t="str">
        <f>" TERRY SMITH"</f>
        <v xml:space="preserve"> TERRY SMITH</v>
      </c>
      <c r="C517" t="str">
        <f>"NORTHEAST NURSE PRACTITIONERS"</f>
        <v>NORTHEAST NURSE PRACTITIONERS</v>
      </c>
    </row>
    <row r="518" spans="1:3">
      <c r="A518" t="str">
        <f>"1679567887"</f>
        <v>1679567887</v>
      </c>
      <c r="B518" t="str">
        <f>" THANG LE"</f>
        <v xml:space="preserve"> THANG LE</v>
      </c>
      <c r="C518" t="str">
        <f>"CELESTA HUNSIKER"</f>
        <v>CELESTA HUNSIKER</v>
      </c>
    </row>
    <row r="519" spans="1:3">
      <c r="A519" t="str">
        <f>"1043563232"</f>
        <v>1043563232</v>
      </c>
      <c r="B519" t="str">
        <f>" THET MAR"</f>
        <v xml:space="preserve"> THET MAR</v>
      </c>
      <c r="C519" t="str">
        <f>"Sister Rose Vincent Family Medicine Center"</f>
        <v>Sister Rose Vincent Family Medicine Center</v>
      </c>
    </row>
    <row r="520" spans="1:3">
      <c r="A520" t="str">
        <f>"1225283468"</f>
        <v>1225283468</v>
      </c>
      <c r="B520" t="str">
        <f>" THOMAS CUMMINGS"</f>
        <v xml:space="preserve"> THOMAS CUMMINGS</v>
      </c>
      <c r="C520" t="str">
        <f>"ONEIDA HEALTH CARE CENTER"</f>
        <v>ONEIDA HEALTH CARE CENTER</v>
      </c>
    </row>
    <row r="521" spans="1:3">
      <c r="A521" t="str">
        <f>"1720173081"</f>
        <v>1720173081</v>
      </c>
      <c r="B521" t="str">
        <f>" THOMAS HANNA"</f>
        <v xml:space="preserve"> THOMAS HANNA</v>
      </c>
      <c r="C521" t="str">
        <f>"MEXICO HEALTH CENTER"</f>
        <v>MEXICO HEALTH CENTER</v>
      </c>
    </row>
    <row r="522" spans="1:3">
      <c r="A522" t="str">
        <f>"1770577884"</f>
        <v>1770577884</v>
      </c>
      <c r="B522" t="str">
        <f>" THOMAS JOHN"</f>
        <v xml:space="preserve"> THOMAS JOHN</v>
      </c>
      <c r="C522" t="str">
        <f>"CELESTA HUNSIKER"</f>
        <v>CELESTA HUNSIKER</v>
      </c>
    </row>
    <row r="523" spans="1:3">
      <c r="A523" t="str">
        <f>"1255361721"</f>
        <v>1255361721</v>
      </c>
      <c r="B523" t="str">
        <f>" THOMAS OSBORN"</f>
        <v xml:space="preserve"> THOMAS OSBORN</v>
      </c>
      <c r="C523" t="str">
        <f>"St. Joseph Physicians"</f>
        <v>St. Joseph Physicians</v>
      </c>
    </row>
    <row r="524" spans="1:3">
      <c r="A524" t="str">
        <f>"1326074865"</f>
        <v>1326074865</v>
      </c>
      <c r="B524" t="str">
        <f>" TIMOTHY ENDY"</f>
        <v xml:space="preserve"> TIMOTHY ENDY</v>
      </c>
      <c r="C524" t="str">
        <f>"UPSTATE UNIVERSITY HOSPITAL"</f>
        <v>UPSTATE UNIVERSITY HOSPITAL</v>
      </c>
    </row>
    <row r="525" spans="1:3">
      <c r="A525" t="str">
        <f>"1740435999"</f>
        <v>1740435999</v>
      </c>
      <c r="B525" t="str">
        <f>" TIMOTHY TRAMONTANA"</f>
        <v xml:space="preserve"> TIMOTHY TRAMONTANA</v>
      </c>
      <c r="C525" t="s">
        <v>2</v>
      </c>
    </row>
    <row r="526" spans="1:3">
      <c r="A526" t="str">
        <f>"1467773648"</f>
        <v>1467773648</v>
      </c>
      <c r="B526" t="str">
        <f>" TINA CUDA"</f>
        <v xml:space="preserve"> TINA CUDA</v>
      </c>
      <c r="C526" t="str">
        <f>"FAXTON-ST LUKE'S HLTHCARE (LUKE CAM)"</f>
        <v>FAXTON-ST LUKE'S HLTHCARE (LUKE CAM)</v>
      </c>
    </row>
    <row r="527" spans="1:3">
      <c r="A527" t="str">
        <f>"1720420714"</f>
        <v>1720420714</v>
      </c>
      <c r="B527" t="str">
        <f>" TONI USEV"</f>
        <v xml:space="preserve"> TONI USEV</v>
      </c>
      <c r="C527" t="str">
        <f>"OSWEGO HOSPITAL"</f>
        <v>OSWEGO HOSPITAL</v>
      </c>
    </row>
    <row r="528" spans="1:3">
      <c r="A528" t="str">
        <f>"1104058791"</f>
        <v>1104058791</v>
      </c>
      <c r="B528" t="str">
        <f>" TRACY BOVA"</f>
        <v xml:space="preserve"> TRACY BOVA</v>
      </c>
      <c r="C528" t="str">
        <f>"Boonville Family Care"</f>
        <v>Boonville Family Care</v>
      </c>
    </row>
    <row r="529" spans="1:3">
      <c r="A529" t="str">
        <f>"1548513104"</f>
        <v>1548513104</v>
      </c>
      <c r="B529" t="str">
        <f>" TREVOR FARNSWORTH"</f>
        <v xml:space="preserve"> TREVOR FARNSWORTH</v>
      </c>
      <c r="C529" t="s">
        <v>2</v>
      </c>
    </row>
    <row r="530" spans="1:3">
      <c r="A530" t="str">
        <f>"1881788925"</f>
        <v>1881788925</v>
      </c>
      <c r="B530" t="str">
        <f>" TRICIA EVELEIGH"</f>
        <v xml:space="preserve"> TRICIA EVELEIGH</v>
      </c>
      <c r="C530" t="s">
        <v>21</v>
      </c>
    </row>
    <row r="531" spans="1:3">
      <c r="A531" t="str">
        <f>"1285735027"</f>
        <v>1285735027</v>
      </c>
      <c r="B531" t="str">
        <f>" VANDANA PATIL"</f>
        <v xml:space="preserve"> VANDANA PATIL</v>
      </c>
      <c r="C531" t="str">
        <f>"PHYSICIAN CARE PC"</f>
        <v>PHYSICIAN CARE PC</v>
      </c>
    </row>
    <row r="532" spans="1:3">
      <c r="A532" t="str">
        <f>"1841511342"</f>
        <v>1841511342</v>
      </c>
      <c r="B532" t="str">
        <f>" VANESSA LALLEY-DEMONG"</f>
        <v xml:space="preserve"> VANESSA LALLEY-DEMONG</v>
      </c>
      <c r="C532" t="str">
        <f>"St. Joseph Hospital"</f>
        <v>St. Joseph Hospital</v>
      </c>
    </row>
    <row r="533" spans="1:3">
      <c r="A533" t="str">
        <f>"1467747733"</f>
        <v>1467747733</v>
      </c>
      <c r="B533" t="str">
        <f>" VENKATA R. DASARI"</f>
        <v xml:space="preserve"> VENKATA R. DASARI</v>
      </c>
      <c r="C533" t="s">
        <v>39</v>
      </c>
    </row>
    <row r="534" spans="1:3">
      <c r="A534" t="str">
        <f>"1124017249"</f>
        <v>1124017249</v>
      </c>
      <c r="B534" t="str">
        <f>" VIGNESWARAN KANDIAH"</f>
        <v xml:space="preserve"> VIGNESWARAN KANDIAH</v>
      </c>
      <c r="C534" t="str">
        <f>"ST Elizabeth Medical Center - Clinton Medical Group"</f>
        <v>ST Elizabeth Medical Center - Clinton Medical Group</v>
      </c>
    </row>
    <row r="535" spans="1:3">
      <c r="A535" t="str">
        <f>"1013295047"</f>
        <v>1013295047</v>
      </c>
      <c r="B535" t="str">
        <f>" VIJAYA SEEPANA"</f>
        <v xml:space="preserve"> VIJAYA SEEPANA</v>
      </c>
      <c r="C535" t="str">
        <f>"ST. JOSEPH`S PHYSICIAN"</f>
        <v>ST. JOSEPH`S PHYSICIAN</v>
      </c>
    </row>
    <row r="536" spans="1:3">
      <c r="A536" t="str">
        <f>"1265745178"</f>
        <v>1265745178</v>
      </c>
      <c r="B536" t="str">
        <f>" VIKTOR PETROVETS"</f>
        <v xml:space="preserve"> VIKTOR PETROVETS</v>
      </c>
      <c r="C536" t="str">
        <f>"MAYSAE SANCROWN"</f>
        <v>MAYSAE SANCROWN</v>
      </c>
    </row>
    <row r="537" spans="1:3">
      <c r="A537" t="str">
        <f>"1982664876"</f>
        <v>1982664876</v>
      </c>
      <c r="B537" t="str">
        <f>" VINCENT GEMELLI"</f>
        <v xml:space="preserve"> VINCENT GEMELLI</v>
      </c>
      <c r="C537" t="str">
        <f>"FAMILY CARE MEDICAL GROUP"</f>
        <v>FAMILY CARE MEDICAL GROUP</v>
      </c>
    </row>
    <row r="538" spans="1:3">
      <c r="A538" t="str">
        <f>"1003807041"</f>
        <v>1003807041</v>
      </c>
      <c r="B538" t="str">
        <f>" VIRENDRA SHARMA"</f>
        <v xml:space="preserve"> VIRENDRA SHARMA</v>
      </c>
      <c r="C538" t="str">
        <f>"VIRENDRA SHARMA"</f>
        <v>VIRENDRA SHARMA</v>
      </c>
    </row>
    <row r="539" spans="1:3">
      <c r="A539" t="str">
        <f>"1861464372"</f>
        <v>1861464372</v>
      </c>
      <c r="B539" t="str">
        <f>" VIVIENNE TAYLOR"</f>
        <v xml:space="preserve"> VIVIENNE TAYLOR</v>
      </c>
      <c r="C539" t="str">
        <f>"Rome Memorial Hospital"</f>
        <v>Rome Memorial Hospital</v>
      </c>
    </row>
    <row r="540" spans="1:3">
      <c r="A540" t="str">
        <f>"1104185784"</f>
        <v>1104185784</v>
      </c>
      <c r="B540" t="str">
        <f>" WAI CHAN"</f>
        <v xml:space="preserve"> WAI CHAN</v>
      </c>
      <c r="C540" t="str">
        <f>"Utica Community Health Center"</f>
        <v>Utica Community Health Center</v>
      </c>
    </row>
    <row r="541" spans="1:3">
      <c r="A541" t="str">
        <f>"1093705873"</f>
        <v>1093705873</v>
      </c>
      <c r="B541" t="str">
        <f>" WENDY KENT"</f>
        <v xml:space="preserve"> WENDY KENT</v>
      </c>
      <c r="C541" t="str">
        <f>"Sister Rose Vincent Family Medicine Center"</f>
        <v>Sister Rose Vincent Family Medicine Center</v>
      </c>
    </row>
    <row r="542" spans="1:3">
      <c r="A542" t="str">
        <f>"1407102734"</f>
        <v>1407102734</v>
      </c>
      <c r="B542" t="str">
        <f>" WILL STILWELL"</f>
        <v xml:space="preserve"> WILL STILWELL</v>
      </c>
      <c r="C542" t="s">
        <v>36</v>
      </c>
    </row>
    <row r="543" spans="1:3">
      <c r="A543" t="str">
        <f>"1467438234"</f>
        <v>1467438234</v>
      </c>
      <c r="B543" t="str">
        <f>" WILLIAM ALLYN"</f>
        <v xml:space="preserve"> WILLIAM ALLYN</v>
      </c>
      <c r="C543" t="str">
        <f>"Upstate University Hospital @ Community"</f>
        <v>Upstate University Hospital @ Community</v>
      </c>
    </row>
    <row r="544" spans="1:3">
      <c r="A544" t="str">
        <f>"1982671020"</f>
        <v>1982671020</v>
      </c>
      <c r="B544" t="str">
        <f>" WILLIAM CHILDRES"</f>
        <v xml:space="preserve"> WILLIAM CHILDRES</v>
      </c>
      <c r="C544" t="str">
        <f>"Internal Medicine Assoc-Auburn"</f>
        <v>Internal Medicine Assoc-Auburn</v>
      </c>
    </row>
    <row r="545" spans="1:3">
      <c r="A545" t="str">
        <f>"1205849650"</f>
        <v>1205849650</v>
      </c>
      <c r="B545" t="s">
        <v>40</v>
      </c>
      <c r="C545" t="str">
        <f>"ONEIDA OB/GYN GROUP"</f>
        <v>ONEIDA OB/GYN GROUP</v>
      </c>
    </row>
    <row r="546" spans="1:3">
      <c r="A546" t="str">
        <f>"1356301774"</f>
        <v>1356301774</v>
      </c>
      <c r="B546" t="str">
        <f>" WILLIAM DIBBLE"</f>
        <v xml:space="preserve"> WILLIAM DIBBLE</v>
      </c>
      <c r="C546" t="str">
        <f>"ESTHER STEINBERG"</f>
        <v>ESTHER STEINBERG</v>
      </c>
    </row>
    <row r="547" spans="1:3">
      <c r="A547" t="str">
        <f>"1437140266"</f>
        <v>1437140266</v>
      </c>
      <c r="B547" t="str">
        <f>" WILLIAM HINES"</f>
        <v xml:space="preserve"> WILLIAM HINES</v>
      </c>
      <c r="C547" t="str">
        <f>"SYRACUSE COMMUNITY HEALTH CENTER"</f>
        <v>SYRACUSE COMMUNITY HEALTH CENTER</v>
      </c>
    </row>
    <row r="548" spans="1:3">
      <c r="A548" t="str">
        <f>"1760445969"</f>
        <v>1760445969</v>
      </c>
      <c r="B548" t="str">
        <f>" WILLIAM LINSKY"</f>
        <v xml:space="preserve"> WILLIAM LINSKY</v>
      </c>
      <c r="C548" t="str">
        <f>"PEDIATRIC SERVICE GROUP"</f>
        <v>PEDIATRIC SERVICE GROUP</v>
      </c>
    </row>
    <row r="549" spans="1:3">
      <c r="A549" t="str">
        <f>"1477646149"</f>
        <v>1477646149</v>
      </c>
      <c r="B549" t="str">
        <f>" WILLIAM PARKER"</f>
        <v xml:space="preserve"> WILLIAM PARKER</v>
      </c>
      <c r="C549" t="str">
        <f>"MVN MEDICAL ARTS CENTER/HERKIMER SATELITE"</f>
        <v>MVN MEDICAL ARTS CENTER/HERKIMER SATELITE</v>
      </c>
    </row>
    <row r="550" spans="1:3">
      <c r="A550" t="str">
        <f>"1457409617"</f>
        <v>1457409617</v>
      </c>
      <c r="B550" t="str">
        <f>" WILLIAM RICHARDSON"</f>
        <v xml:space="preserve"> WILLIAM RICHARDSON</v>
      </c>
      <c r="C550" t="str">
        <f>"TRIVALLEY FAMILY PRACTICE"</f>
        <v>TRIVALLEY FAMILY PRACTICE</v>
      </c>
    </row>
    <row r="551" spans="1:3">
      <c r="A551" t="str">
        <f>"1104924570"</f>
        <v>1104924570</v>
      </c>
      <c r="B551" t="str">
        <f>" WILLIAM RYAN"</f>
        <v xml:space="preserve"> WILLIAM RYAN</v>
      </c>
      <c r="C551" t="str">
        <f>"Boonville Office of Faxton-St Luke's"</f>
        <v>Boonville Office of Faxton-St Luke's</v>
      </c>
    </row>
    <row r="552" spans="1:3">
      <c r="A552" t="str">
        <f>"1699749879"</f>
        <v>1699749879</v>
      </c>
      <c r="B552" t="str">
        <f>" WILLIAM SCHREIBER"</f>
        <v xml:space="preserve"> WILLIAM SCHREIBER</v>
      </c>
      <c r="C552" t="s">
        <v>3</v>
      </c>
    </row>
    <row r="553" spans="1:3">
      <c r="A553" t="str">
        <f>"1619221751"</f>
        <v>1619221751</v>
      </c>
      <c r="B553" t="str">
        <f>" WILLIAM SMITH III"</f>
        <v xml:space="preserve"> WILLIAM SMITH III</v>
      </c>
      <c r="C553" t="str">
        <f>"JONES MEMORIAL MEDICAL PRACTICE"</f>
        <v>JONES MEMORIAL MEDICAL PRACTICE</v>
      </c>
    </row>
    <row r="554" spans="1:3">
      <c r="A554" t="str">
        <f>"1598785677"</f>
        <v>1598785677</v>
      </c>
      <c r="B554" t="str">
        <f>" WILLIAM WOLFF"</f>
        <v xml:space="preserve"> WILLIAM WOLFF</v>
      </c>
      <c r="C554" t="s">
        <v>7</v>
      </c>
    </row>
    <row r="555" spans="1:3">
      <c r="A555" t="str">
        <f>"1144282278"</f>
        <v>1144282278</v>
      </c>
      <c r="B555" t="str">
        <f>" YOLA AUGUSTIN"</f>
        <v xml:space="preserve"> YOLA AUGUSTIN</v>
      </c>
      <c r="C555" t="str">
        <f>"SYRACUSE COMMUNITY HEALTH CENTER"</f>
        <v>SYRACUSE COMMUNITY HEALTH CENTER</v>
      </c>
    </row>
    <row r="556" spans="1:3">
      <c r="A556" t="str">
        <f>"1881948107"</f>
        <v>1881948107</v>
      </c>
      <c r="B556" t="str">
        <f>" YVONNE U. RUTAGARAMA"</f>
        <v xml:space="preserve"> YVONNE U. RUTAGARAMA</v>
      </c>
      <c r="C556" t="str">
        <f>"SYRACUSE COMMUNITY HEALTH CENTER"</f>
        <v>SYRACUSE COMMUNITY HEALTH CENTER</v>
      </c>
    </row>
    <row r="557" spans="1:3">
      <c r="A557" t="str">
        <f>"1215941273"</f>
        <v>1215941273</v>
      </c>
      <c r="B557" t="str">
        <f>" ZARINA SMITH"</f>
        <v xml:space="preserve"> ZARINA SMITH</v>
      </c>
      <c r="C557" t="str">
        <f>"SYRACUSE COMMUNITY HEALTH CENTER"</f>
        <v>SYRACUSE COMMUNITY HEALTH CENTER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SQLT0007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Hebert</dc:creator>
  <cp:lastModifiedBy>i67550</cp:lastModifiedBy>
  <dcterms:created xsi:type="dcterms:W3CDTF">2015-10-28T12:36:41Z</dcterms:created>
  <dcterms:modified xsi:type="dcterms:W3CDTF">2015-10-28T12:36:41Z</dcterms:modified>
</cp:coreProperties>
</file>